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6.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7.xml" ContentType="application/vnd.openxmlformats-officedocument.drawing+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drawings/drawing8.xml" ContentType="application/vnd.openxmlformats-officedocument.drawing+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827"/>
  <workbookPr defaultThemeVersion="124226"/>
  <mc:AlternateContent xmlns:mc="http://schemas.openxmlformats.org/markup-compatibility/2006">
    <mc:Choice Requires="x15">
      <x15ac:absPath xmlns:x15ac="http://schemas.microsoft.com/office/spreadsheetml/2010/11/ac" url="C:\Users\Emma\Desktop\Biogeo- sciences\"/>
    </mc:Choice>
  </mc:AlternateContent>
  <bookViews>
    <workbookView xWindow="0" yWindow="0" windowWidth="20490" windowHeight="7530" xr2:uid="{00000000-000D-0000-FFFF-FFFF00000000}"/>
  </bookViews>
  <sheets>
    <sheet name="Info" sheetId="4" r:id="rId1"/>
    <sheet name="DC2" sheetId="1" r:id="rId2"/>
    <sheet name="Bac" sheetId="2" r:id="rId3"/>
    <sheet name="NH4" sheetId="3" r:id="rId4"/>
    <sheet name="QuotaCalcs" sheetId="6" r:id="rId5"/>
    <sheet name="QuotaData" sheetId="7" r:id="rId6"/>
    <sheet name="NMassBalance" sheetId="9" r:id="rId7"/>
    <sheet name="N-Figures" sheetId="10" r:id="rId8"/>
  </sheets>
  <calcPr calcId="171027"/>
</workbook>
</file>

<file path=xl/calcChain.xml><?xml version="1.0" encoding="utf-8"?>
<calcChain xmlns="http://schemas.openxmlformats.org/spreadsheetml/2006/main">
  <c r="D35" i="6" l="1"/>
  <c r="F24" i="3" l="1"/>
  <c r="L37" i="3" s="1"/>
  <c r="Z6" i="1" l="1"/>
  <c r="Z7" i="1"/>
  <c r="Z8" i="1"/>
  <c r="Z9" i="1"/>
  <c r="Z10" i="1"/>
  <c r="Z11" i="1"/>
  <c r="Z12" i="1"/>
  <c r="Z13" i="1"/>
  <c r="Z14" i="1"/>
  <c r="Z15" i="1"/>
  <c r="Z16" i="1"/>
  <c r="Z5" i="1"/>
  <c r="N40" i="9" l="1"/>
  <c r="M13" i="7" l="1"/>
  <c r="Z20" i="1" l="1"/>
  <c r="Z21" i="1"/>
  <c r="Z22" i="1"/>
  <c r="Z19" i="1"/>
  <c r="AQ76" i="2"/>
  <c r="AQ77" i="2"/>
  <c r="AQ78" i="2"/>
  <c r="AQ79" i="2"/>
  <c r="AQ80" i="2"/>
  <c r="AQ75" i="2"/>
  <c r="I26" i="6" l="1"/>
  <c r="I27" i="6" s="1"/>
  <c r="N24" i="10" l="1"/>
  <c r="N34" i="10" s="1"/>
  <c r="N44" i="10" s="1"/>
  <c r="N53" i="10" s="1"/>
  <c r="O24" i="10"/>
  <c r="O34" i="10" s="1"/>
  <c r="O44" i="10" s="1"/>
  <c r="O53" i="10" s="1"/>
  <c r="K25" i="10"/>
  <c r="K35" i="10" s="1"/>
  <c r="K26" i="10"/>
  <c r="K36" i="10" s="1"/>
  <c r="K46" i="10" s="1"/>
  <c r="K55" i="10" s="1"/>
  <c r="L14" i="10"/>
  <c r="L24" i="10" s="1"/>
  <c r="L34" i="10" s="1"/>
  <c r="L44" i="10" s="1"/>
  <c r="L53" i="10" s="1"/>
  <c r="M14" i="10"/>
  <c r="M24" i="10" s="1"/>
  <c r="M34" i="10" s="1"/>
  <c r="M44" i="10" s="1"/>
  <c r="M53" i="10" s="1"/>
  <c r="N14" i="10"/>
  <c r="O14" i="10"/>
  <c r="P14" i="10"/>
  <c r="P24" i="10" s="1"/>
  <c r="P34" i="10" s="1"/>
  <c r="P44" i="10" s="1"/>
  <c r="P53" i="10" s="1"/>
  <c r="Q14" i="10"/>
  <c r="Q24" i="10" s="1"/>
  <c r="Q34" i="10" s="1"/>
  <c r="Q44" i="10" s="1"/>
  <c r="Q53" i="10" s="1"/>
  <c r="K15" i="10"/>
  <c r="K16" i="10"/>
  <c r="K17" i="10"/>
  <c r="K27" i="10" s="1"/>
  <c r="K37" i="10" s="1"/>
  <c r="K47" i="10" s="1"/>
  <c r="K56" i="10" s="1"/>
  <c r="K14" i="10"/>
  <c r="K24" i="10" s="1"/>
  <c r="K34" i="10" s="1"/>
  <c r="K44" i="10" s="1"/>
  <c r="K53" i="10" s="1"/>
  <c r="B47" i="10"/>
  <c r="B38" i="10"/>
  <c r="B39" i="10"/>
  <c r="B41" i="10"/>
  <c r="B29" i="10"/>
  <c r="B46" i="10" s="1"/>
  <c r="B30" i="10"/>
  <c r="B5" i="10"/>
  <c r="B18" i="10" s="1"/>
  <c r="B26" i="10" s="1"/>
  <c r="B43" i="10" s="1"/>
  <c r="B6" i="10"/>
  <c r="B19" i="10" s="1"/>
  <c r="B27" i="10" s="1"/>
  <c r="B44" i="10" s="1"/>
  <c r="B7" i="10"/>
  <c r="B20" i="10" s="1"/>
  <c r="B28" i="10" s="1"/>
  <c r="B45" i="10" s="1"/>
  <c r="B4" i="10"/>
  <c r="B17" i="10" s="1"/>
  <c r="B25" i="10" s="1"/>
  <c r="B42" i="10" s="1"/>
  <c r="B34" i="10" l="1"/>
  <c r="B36" i="10"/>
  <c r="B37" i="10"/>
  <c r="B35" i="10"/>
  <c r="B10" i="10"/>
  <c r="B12" i="10"/>
  <c r="B13" i="10"/>
  <c r="B11" i="10"/>
  <c r="O78" i="9"/>
  <c r="L78" i="9"/>
  <c r="V30" i="9"/>
  <c r="V22" i="9"/>
  <c r="W22" i="9"/>
  <c r="X22" i="9"/>
  <c r="U22" i="9"/>
  <c r="B66" i="9" l="1"/>
  <c r="C74" i="9" s="1"/>
  <c r="B67" i="9"/>
  <c r="L71" i="9" s="1"/>
  <c r="B68" i="9"/>
  <c r="C76" i="9" s="1"/>
  <c r="B65" i="9"/>
  <c r="L69" i="9" s="1"/>
  <c r="L75" i="9" s="1"/>
  <c r="F22" i="6"/>
  <c r="F25" i="6" s="1"/>
  <c r="F29" i="6" s="1"/>
  <c r="F31" i="6" s="1"/>
  <c r="F33" i="6" s="1"/>
  <c r="C75" i="9" l="1"/>
  <c r="C73" i="9"/>
  <c r="S59" i="9"/>
  <c r="S58" i="9"/>
  <c r="S57" i="9"/>
  <c r="S56" i="9"/>
  <c r="X73" i="1"/>
  <c r="X77" i="1" s="1"/>
  <c r="U66" i="1"/>
  <c r="W73" i="1" s="1"/>
  <c r="W77" i="1" s="1"/>
  <c r="U67" i="1"/>
  <c r="U65" i="1"/>
  <c r="V73" i="1" s="1"/>
  <c r="V77" i="1" s="1"/>
  <c r="U55" i="1"/>
  <c r="U56" i="1"/>
  <c r="U57" i="1"/>
  <c r="U58" i="1"/>
  <c r="U59" i="1"/>
  <c r="U60" i="1"/>
  <c r="U61" i="1"/>
  <c r="U62" i="1"/>
  <c r="U54" i="1"/>
  <c r="U69" i="1" l="1"/>
  <c r="AB13" i="6"/>
  <c r="AB11" i="6"/>
  <c r="Z9" i="6"/>
  <c r="AB9" i="6"/>
  <c r="Y9" i="6"/>
  <c r="AB7" i="6"/>
  <c r="Y7" i="6"/>
  <c r="AB5" i="6"/>
  <c r="AB4" i="6"/>
  <c r="Z5" i="6"/>
  <c r="AA4" i="6"/>
  <c r="AA7" i="6" s="1"/>
  <c r="W27" i="6"/>
  <c r="W22" i="6"/>
  <c r="T17" i="6"/>
  <c r="T18" i="6"/>
  <c r="T16" i="6"/>
  <c r="U4" i="6"/>
  <c r="T5" i="6"/>
  <c r="T6" i="6"/>
  <c r="T7" i="6"/>
  <c r="T8" i="6"/>
  <c r="T9" i="6"/>
  <c r="T10" i="6"/>
  <c r="T11" i="6"/>
  <c r="T12" i="6"/>
  <c r="T13" i="6"/>
  <c r="AA11" i="6" l="1"/>
  <c r="AA13" i="6" s="1"/>
  <c r="V26" i="6" s="1"/>
  <c r="O45" i="9" l="1"/>
  <c r="Q44" i="9"/>
  <c r="P44" i="9"/>
  <c r="O48" i="9"/>
  <c r="O47" i="9"/>
  <c r="O46" i="9"/>
  <c r="K199" i="2" l="1"/>
  <c r="O199" i="2" s="1"/>
  <c r="K200" i="2"/>
  <c r="O200" i="2" s="1"/>
  <c r="K201" i="2"/>
  <c r="O201" i="2" s="1"/>
  <c r="K202" i="2"/>
  <c r="O202" i="2" s="1"/>
  <c r="K203" i="2"/>
  <c r="O203" i="2" s="1"/>
  <c r="K204" i="2"/>
  <c r="O204" i="2" s="1"/>
  <c r="AO30" i="3" l="1"/>
  <c r="AO31" i="3"/>
  <c r="AO32" i="3"/>
  <c r="AO33" i="3"/>
  <c r="AO34" i="3"/>
  <c r="AP25" i="3"/>
  <c r="AO21" i="3"/>
  <c r="AO22" i="3"/>
  <c r="AO23" i="3"/>
  <c r="AO24" i="3"/>
  <c r="AO25" i="3"/>
  <c r="AO29" i="3"/>
  <c r="AO20" i="3"/>
  <c r="U22" i="1"/>
  <c r="U15" i="1" s="1"/>
  <c r="U21" i="1"/>
  <c r="U14" i="1" s="1"/>
  <c r="U20" i="1"/>
  <c r="U13" i="1" s="1"/>
  <c r="U19" i="1"/>
  <c r="U12" i="1" s="1"/>
  <c r="AP27" i="2"/>
  <c r="AW27" i="2" s="1"/>
  <c r="AP26" i="2"/>
  <c r="AW26" i="2" s="1"/>
  <c r="AP25" i="2"/>
  <c r="AW25" i="2" s="1"/>
  <c r="AP24" i="2"/>
  <c r="AW24" i="2" s="1"/>
  <c r="AP23" i="2"/>
  <c r="AW23" i="2" s="1"/>
  <c r="AP22" i="2"/>
  <c r="AW22" i="2" s="1"/>
  <c r="K108" i="2" l="1"/>
  <c r="O108" i="2" s="1"/>
  <c r="V22" i="2" s="1"/>
  <c r="K109" i="2"/>
  <c r="O109" i="2"/>
  <c r="V23" i="2" s="1"/>
  <c r="K110" i="2"/>
  <c r="O110" i="2" s="1"/>
  <c r="V24" i="2" s="1"/>
  <c r="K111" i="2"/>
  <c r="O111" i="2"/>
  <c r="V25" i="2" s="1"/>
  <c r="K112" i="2"/>
  <c r="O112" i="2" s="1"/>
  <c r="V26" i="2" s="1"/>
  <c r="K113" i="2"/>
  <c r="O113" i="2"/>
  <c r="V27" i="2" s="1"/>
  <c r="K114" i="2"/>
  <c r="O114" i="2" s="1"/>
  <c r="V28" i="2" s="1"/>
  <c r="K115" i="2"/>
  <c r="O115" i="2"/>
  <c r="V29" i="2" s="1"/>
  <c r="K116" i="2"/>
  <c r="O116" i="2" s="1"/>
  <c r="V30" i="2" s="1"/>
  <c r="K117" i="2"/>
  <c r="O117" i="2"/>
  <c r="V31" i="2" s="1"/>
  <c r="K118" i="2"/>
  <c r="O118" i="2" s="1"/>
  <c r="V32" i="2" s="1"/>
  <c r="K119" i="2"/>
  <c r="O119" i="2"/>
  <c r="V33" i="2" s="1"/>
  <c r="K120" i="2"/>
  <c r="O120" i="2" s="1"/>
  <c r="V34" i="2" s="1"/>
  <c r="K121" i="2"/>
  <c r="O121" i="2"/>
  <c r="V35" i="2" s="1"/>
  <c r="K122" i="2"/>
  <c r="O122" i="2" s="1"/>
  <c r="V36" i="2" s="1"/>
  <c r="K123" i="2"/>
  <c r="O123" i="2"/>
  <c r="V37" i="2" s="1"/>
  <c r="K124" i="2"/>
  <c r="O124" i="2" s="1"/>
  <c r="V38" i="2" s="1"/>
  <c r="K125" i="2"/>
  <c r="O125" i="2"/>
  <c r="V39" i="2" s="1"/>
  <c r="K126" i="2"/>
  <c r="O126" i="2" s="1"/>
  <c r="X22" i="2" s="1"/>
  <c r="K127" i="2"/>
  <c r="O127" i="2"/>
  <c r="X23" i="2" s="1"/>
  <c r="K128" i="2"/>
  <c r="O128" i="2" s="1"/>
  <c r="X24" i="2" s="1"/>
  <c r="K129" i="2"/>
  <c r="O129" i="2"/>
  <c r="X25" i="2" s="1"/>
  <c r="K130" i="2"/>
  <c r="O130" i="2" s="1"/>
  <c r="X26" i="2" s="1"/>
  <c r="K131" i="2"/>
  <c r="O131" i="2"/>
  <c r="X27" i="2" s="1"/>
  <c r="K132" i="2"/>
  <c r="O132" i="2" s="1"/>
  <c r="X28" i="2" s="1"/>
  <c r="K133" i="2"/>
  <c r="O133" i="2"/>
  <c r="X29" i="2" s="1"/>
  <c r="K134" i="2"/>
  <c r="O134" i="2" s="1"/>
  <c r="X30" i="2" s="1"/>
  <c r="K135" i="2"/>
  <c r="O135" i="2"/>
  <c r="X31" i="2" s="1"/>
  <c r="K136" i="2"/>
  <c r="O136" i="2" s="1"/>
  <c r="X32" i="2" s="1"/>
  <c r="K137" i="2"/>
  <c r="O137" i="2"/>
  <c r="X33" i="2" s="1"/>
  <c r="K138" i="2"/>
  <c r="O138" i="2" s="1"/>
  <c r="X34" i="2" s="1"/>
  <c r="K139" i="2"/>
  <c r="O139" i="2"/>
  <c r="X35" i="2" s="1"/>
  <c r="K140" i="2"/>
  <c r="O140" i="2" s="1"/>
  <c r="X36" i="2" s="1"/>
  <c r="K141" i="2"/>
  <c r="O141" i="2"/>
  <c r="X37" i="2" s="1"/>
  <c r="K142" i="2"/>
  <c r="O142" i="2" s="1"/>
  <c r="X38" i="2" s="1"/>
  <c r="K143" i="2"/>
  <c r="O143" i="2"/>
  <c r="X39" i="2" s="1"/>
  <c r="K144" i="2"/>
  <c r="O144" i="2" s="1"/>
  <c r="S22" i="2" s="1"/>
  <c r="K145" i="2"/>
  <c r="O145" i="2"/>
  <c r="S23" i="2" s="1"/>
  <c r="K146" i="2"/>
  <c r="O146" i="2" s="1"/>
  <c r="S24" i="2" s="1"/>
  <c r="K147" i="2"/>
  <c r="O147" i="2"/>
  <c r="S25" i="2" s="1"/>
  <c r="K148" i="2"/>
  <c r="O148" i="2" s="1"/>
  <c r="S26" i="2" s="1"/>
  <c r="K149" i="2"/>
  <c r="O149" i="2"/>
  <c r="S27" i="2" s="1"/>
  <c r="K150" i="2"/>
  <c r="O150" i="2" s="1"/>
  <c r="S28" i="2" s="1"/>
  <c r="K151" i="2"/>
  <c r="O151" i="2"/>
  <c r="S29" i="2" s="1"/>
  <c r="K152" i="2"/>
  <c r="O152" i="2" s="1"/>
  <c r="S30" i="2" s="1"/>
  <c r="K153" i="2"/>
  <c r="O153" i="2"/>
  <c r="S31" i="2" s="1"/>
  <c r="K154" i="2"/>
  <c r="O154" i="2" s="1"/>
  <c r="S32" i="2" s="1"/>
  <c r="K155" i="2"/>
  <c r="O155" i="2"/>
  <c r="S33" i="2" s="1"/>
  <c r="K156" i="2"/>
  <c r="O156" i="2" s="1"/>
  <c r="S34" i="2" s="1"/>
  <c r="K157" i="2"/>
  <c r="O157" i="2"/>
  <c r="S35" i="2" s="1"/>
  <c r="K158" i="2"/>
  <c r="O158" i="2" s="1"/>
  <c r="S36" i="2" s="1"/>
  <c r="K159" i="2"/>
  <c r="O159" i="2"/>
  <c r="S37" i="2" s="1"/>
  <c r="K160" i="2"/>
  <c r="O160" i="2" s="1"/>
  <c r="S38" i="2" s="1"/>
  <c r="K161" i="2"/>
  <c r="O161" i="2"/>
  <c r="S39" i="2" s="1"/>
  <c r="K162" i="2"/>
  <c r="O162" i="2" s="1"/>
  <c r="AD22" i="2" s="1"/>
  <c r="K163" i="2"/>
  <c r="O163" i="2"/>
  <c r="AD23" i="2" s="1"/>
  <c r="K164" i="2"/>
  <c r="O164" i="2" s="1"/>
  <c r="AD24" i="2" s="1"/>
  <c r="K165" i="2"/>
  <c r="O165" i="2"/>
  <c r="AD25" i="2" s="1"/>
  <c r="K166" i="2"/>
  <c r="O166" i="2" s="1"/>
  <c r="AD26" i="2" s="1"/>
  <c r="K167" i="2"/>
  <c r="O167" i="2"/>
  <c r="AD27" i="2" s="1"/>
  <c r="K168" i="2"/>
  <c r="O168" i="2" s="1"/>
  <c r="AD28" i="2" s="1"/>
  <c r="K169" i="2"/>
  <c r="O169" i="2"/>
  <c r="AD29" i="2" s="1"/>
  <c r="K170" i="2"/>
  <c r="O170" i="2" s="1"/>
  <c r="AD30" i="2" s="1"/>
  <c r="K171" i="2"/>
  <c r="O171" i="2"/>
  <c r="AD31" i="2" s="1"/>
  <c r="K172" i="2"/>
  <c r="O172" i="2" s="1"/>
  <c r="AD32" i="2" s="1"/>
  <c r="K173" i="2"/>
  <c r="O173" i="2"/>
  <c r="AD33" i="2" s="1"/>
  <c r="K174" i="2"/>
  <c r="O174" i="2" s="1"/>
  <c r="AF22" i="2" s="1"/>
  <c r="K175" i="2"/>
  <c r="O175" i="2"/>
  <c r="AF23" i="2" s="1"/>
  <c r="K176" i="2"/>
  <c r="O176" i="2" s="1"/>
  <c r="AF24" i="2" s="1"/>
  <c r="K177" i="2"/>
  <c r="O177" i="2"/>
  <c r="AF25" i="2" s="1"/>
  <c r="K178" i="2"/>
  <c r="O178" i="2" s="1"/>
  <c r="AF26" i="2" s="1"/>
  <c r="K179" i="2"/>
  <c r="O179" i="2"/>
  <c r="AF27" i="2" s="1"/>
  <c r="K180" i="2"/>
  <c r="O180" i="2" s="1"/>
  <c r="AF28" i="2" s="1"/>
  <c r="K181" i="2"/>
  <c r="O181" i="2"/>
  <c r="AF29" i="2" s="1"/>
  <c r="K182" i="2"/>
  <c r="O182" i="2" s="1"/>
  <c r="AF30" i="2" s="1"/>
  <c r="K183" i="2"/>
  <c r="O183" i="2"/>
  <c r="AF31" i="2" s="1"/>
  <c r="K184" i="2"/>
  <c r="O184" i="2" s="1"/>
  <c r="AF32" i="2" s="1"/>
  <c r="K185" i="2"/>
  <c r="O185" i="2"/>
  <c r="AF33" i="2" s="1"/>
  <c r="K186" i="2"/>
  <c r="O186" i="2" s="1"/>
  <c r="AA22" i="2" s="1"/>
  <c r="K187" i="2"/>
  <c r="O187" i="2"/>
  <c r="AA23" i="2" s="1"/>
  <c r="K188" i="2"/>
  <c r="O188" i="2" s="1"/>
  <c r="AA24" i="2" s="1"/>
  <c r="K189" i="2"/>
  <c r="O189" i="2"/>
  <c r="AA25" i="2" s="1"/>
  <c r="K190" i="2"/>
  <c r="O190" i="2" s="1"/>
  <c r="AA26" i="2" s="1"/>
  <c r="K191" i="2"/>
  <c r="O191" i="2"/>
  <c r="AA27" i="2" s="1"/>
  <c r="K192" i="2"/>
  <c r="O192" i="2" s="1"/>
  <c r="AA28" i="2" s="1"/>
  <c r="K193" i="2"/>
  <c r="O193" i="2"/>
  <c r="AA29" i="2" s="1"/>
  <c r="K194" i="2"/>
  <c r="O194" i="2" s="1"/>
  <c r="AA30" i="2" s="1"/>
  <c r="K195" i="2"/>
  <c r="O195" i="2"/>
  <c r="AA31" i="2" s="1"/>
  <c r="K196" i="2"/>
  <c r="O196" i="2" s="1"/>
  <c r="AA32" i="2" s="1"/>
  <c r="K197" i="2"/>
  <c r="O197" i="2"/>
  <c r="AA33" i="2" s="1"/>
  <c r="S43" i="2" l="1"/>
  <c r="D22" i="6"/>
  <c r="K106" i="2"/>
  <c r="O106" i="2"/>
  <c r="K103" i="2"/>
  <c r="O103" i="2" s="1"/>
  <c r="K104" i="2"/>
  <c r="O104" i="2" s="1"/>
  <c r="J8" i="7"/>
  <c r="I28" i="6" l="1"/>
  <c r="I29" i="6" s="1"/>
  <c r="Z4" i="6"/>
  <c r="Z7" i="6" s="1"/>
  <c r="Z11" i="6" s="1"/>
  <c r="Z13" i="6" s="1"/>
  <c r="U26" i="6" s="1"/>
  <c r="D25" i="6"/>
  <c r="S103" i="2"/>
  <c r="AI23" i="2"/>
  <c r="AY22" i="2" s="1"/>
  <c r="AJ23" i="2"/>
  <c r="AL23" i="2"/>
  <c r="AN23" i="2"/>
  <c r="AI24" i="2"/>
  <c r="AZ22" i="2" s="1"/>
  <c r="AL24" i="2"/>
  <c r="AN24" i="2"/>
  <c r="AI25" i="2"/>
  <c r="AL25" i="2"/>
  <c r="AN25" i="2"/>
  <c r="AI26" i="2"/>
  <c r="AY23" i="2" s="1"/>
  <c r="AJ26" i="2"/>
  <c r="AL26" i="2"/>
  <c r="AN26" i="2"/>
  <c r="AI27" i="2"/>
  <c r="AZ23" i="2" s="1"/>
  <c r="AL27" i="2"/>
  <c r="AN27" i="2"/>
  <c r="AI28" i="2"/>
  <c r="AL28" i="2"/>
  <c r="AN28" i="2"/>
  <c r="AI29" i="2"/>
  <c r="AY24" i="2" s="1"/>
  <c r="AJ29" i="2"/>
  <c r="AL29" i="2"/>
  <c r="AN29" i="2"/>
  <c r="AI30" i="2"/>
  <c r="AZ24" i="2" s="1"/>
  <c r="AL30" i="2"/>
  <c r="AN30" i="2"/>
  <c r="AI31" i="2"/>
  <c r="AL31" i="2"/>
  <c r="AN31" i="2"/>
  <c r="AI32" i="2"/>
  <c r="AY25" i="2" s="1"/>
  <c r="AJ32" i="2"/>
  <c r="AL32" i="2"/>
  <c r="AN32" i="2"/>
  <c r="AI33" i="2"/>
  <c r="AZ25" i="2" s="1"/>
  <c r="AL33" i="2"/>
  <c r="AN33" i="2"/>
  <c r="AI34" i="2"/>
  <c r="AL34" i="2"/>
  <c r="AN34" i="2"/>
  <c r="AI35" i="2"/>
  <c r="AY26" i="2" s="1"/>
  <c r="AJ35" i="2"/>
  <c r="AL35" i="2"/>
  <c r="AN35" i="2"/>
  <c r="AI36" i="2"/>
  <c r="AZ26" i="2" s="1"/>
  <c r="AL36" i="2"/>
  <c r="AN36" i="2"/>
  <c r="AI37" i="2"/>
  <c r="AL37" i="2"/>
  <c r="AN37" i="2"/>
  <c r="AI38" i="2"/>
  <c r="AY27" i="2" s="1"/>
  <c r="AJ38" i="2"/>
  <c r="AL38" i="2"/>
  <c r="AN38" i="2"/>
  <c r="AI39" i="2"/>
  <c r="AZ27" i="2" s="1"/>
  <c r="AL39" i="2"/>
  <c r="AN39" i="2"/>
  <c r="AL22" i="2"/>
  <c r="AN22" i="2"/>
  <c r="AI22" i="2"/>
  <c r="AJ21" i="2"/>
  <c r="AK21" i="2"/>
  <c r="AL21" i="2"/>
  <c r="AM21" i="2"/>
  <c r="AN21" i="2"/>
  <c r="AI21" i="2"/>
  <c r="Z23" i="2"/>
  <c r="AH23" i="2" s="1"/>
  <c r="Z24" i="2"/>
  <c r="AH24" i="2" s="1"/>
  <c r="Z25" i="2"/>
  <c r="AH25" i="2" s="1"/>
  <c r="Z26" i="2"/>
  <c r="AH26" i="2" s="1"/>
  <c r="Z27" i="2"/>
  <c r="AH27" i="2" s="1"/>
  <c r="Z28" i="2"/>
  <c r="AH28" i="2" s="1"/>
  <c r="Z29" i="2"/>
  <c r="AH29" i="2" s="1"/>
  <c r="Z30" i="2"/>
  <c r="AH30" i="2" s="1"/>
  <c r="Z31" i="2"/>
  <c r="AH31" i="2" s="1"/>
  <c r="Z32" i="2"/>
  <c r="AH32" i="2" s="1"/>
  <c r="Z33" i="2"/>
  <c r="AH33" i="2" s="1"/>
  <c r="Z22" i="2"/>
  <c r="AH22" i="2" s="1"/>
  <c r="K5" i="2"/>
  <c r="O5" i="2" s="1"/>
  <c r="T24" i="2" s="1"/>
  <c r="K6" i="2"/>
  <c r="O6" i="2" s="1"/>
  <c r="T25" i="2" s="1"/>
  <c r="K7" i="2"/>
  <c r="O7" i="2" s="1"/>
  <c r="T27" i="2" s="1"/>
  <c r="K8" i="2"/>
  <c r="O8" i="2" s="1"/>
  <c r="T28" i="2" s="1"/>
  <c r="K9" i="2"/>
  <c r="O9" i="2" s="1"/>
  <c r="T30" i="2" s="1"/>
  <c r="K10" i="2"/>
  <c r="O10" i="2" s="1"/>
  <c r="T31" i="2" s="1"/>
  <c r="K11" i="2"/>
  <c r="O11" i="2" s="1"/>
  <c r="T33" i="2" s="1"/>
  <c r="K12" i="2"/>
  <c r="O12" i="2" s="1"/>
  <c r="T34" i="2" s="1"/>
  <c r="AJ34" i="2" s="1"/>
  <c r="K13" i="2"/>
  <c r="O13" i="2" s="1"/>
  <c r="T36" i="2" s="1"/>
  <c r="AJ36" i="2" s="1"/>
  <c r="K14" i="2"/>
  <c r="O14" i="2" s="1"/>
  <c r="T37" i="2" s="1"/>
  <c r="AJ37" i="2" s="1"/>
  <c r="K15" i="2"/>
  <c r="O15" i="2" s="1"/>
  <c r="T39" i="2" s="1"/>
  <c r="AJ39" i="2" s="1"/>
  <c r="K16" i="2"/>
  <c r="O16" i="2" s="1"/>
  <c r="K17" i="2"/>
  <c r="O17" i="2" s="1"/>
  <c r="K18" i="2"/>
  <c r="O18" i="2" s="1"/>
  <c r="K19" i="2"/>
  <c r="O19" i="2" s="1"/>
  <c r="K20" i="2"/>
  <c r="O20" i="2" s="1"/>
  <c r="K21" i="2"/>
  <c r="O21" i="2" s="1"/>
  <c r="K22" i="2"/>
  <c r="O22" i="2" s="1"/>
  <c r="U22" i="2" s="1"/>
  <c r="K23" i="2"/>
  <c r="O23" i="2" s="1"/>
  <c r="U23" i="2" s="1"/>
  <c r="K24" i="2"/>
  <c r="O24" i="2" s="1"/>
  <c r="U24" i="2" s="1"/>
  <c r="K25" i="2"/>
  <c r="O25" i="2" s="1"/>
  <c r="U25" i="2" s="1"/>
  <c r="K26" i="2"/>
  <c r="O26" i="2" s="1"/>
  <c r="U27" i="2" s="1"/>
  <c r="K27" i="2"/>
  <c r="O27" i="2" s="1"/>
  <c r="K28" i="2"/>
  <c r="O28" i="2" s="1"/>
  <c r="U28" i="2" s="1"/>
  <c r="K29" i="2"/>
  <c r="O29" i="2" s="1"/>
  <c r="U29" i="2" s="1"/>
  <c r="K30" i="2"/>
  <c r="O30" i="2" s="1"/>
  <c r="U30" i="2" s="1"/>
  <c r="K31" i="2"/>
  <c r="O31" i="2" s="1"/>
  <c r="U31" i="2" s="1"/>
  <c r="K32" i="2"/>
  <c r="O32" i="2" s="1"/>
  <c r="U32" i="2" s="1"/>
  <c r="K33" i="2"/>
  <c r="O33" i="2" s="1"/>
  <c r="U33" i="2" s="1"/>
  <c r="K34" i="2"/>
  <c r="O34" i="2" s="1"/>
  <c r="U34" i="2" s="1"/>
  <c r="AK34" i="2" s="1"/>
  <c r="K35" i="2"/>
  <c r="O35" i="2" s="1"/>
  <c r="U35" i="2" s="1"/>
  <c r="AK35" i="2" s="1"/>
  <c r="K36" i="2"/>
  <c r="O36" i="2" s="1"/>
  <c r="U36" i="2" s="1"/>
  <c r="AK36" i="2" s="1"/>
  <c r="K37" i="2"/>
  <c r="O37" i="2" s="1"/>
  <c r="U37" i="2" s="1"/>
  <c r="AK37" i="2" s="1"/>
  <c r="K38" i="2"/>
  <c r="O38" i="2" s="1"/>
  <c r="U38" i="2" s="1"/>
  <c r="AK38" i="2" s="1"/>
  <c r="K39" i="2"/>
  <c r="O39" i="2" s="1"/>
  <c r="U39" i="2" s="1"/>
  <c r="AK39" i="2" s="1"/>
  <c r="K40" i="2"/>
  <c r="O40" i="2" s="1"/>
  <c r="U26" i="2" s="1"/>
  <c r="K41" i="2"/>
  <c r="O41" i="2" s="1"/>
  <c r="W22" i="2" s="1"/>
  <c r="K42" i="2"/>
  <c r="O42" i="2" s="1"/>
  <c r="W23" i="2" s="1"/>
  <c r="K43" i="2"/>
  <c r="O43" i="2" s="1"/>
  <c r="W24" i="2" s="1"/>
  <c r="K44" i="2"/>
  <c r="O44" i="2" s="1"/>
  <c r="W25" i="2" s="1"/>
  <c r="K45" i="2"/>
  <c r="O45" i="2" s="1"/>
  <c r="W26" i="2" s="1"/>
  <c r="K46" i="2"/>
  <c r="O46" i="2" s="1"/>
  <c r="W27" i="2" s="1"/>
  <c r="K47" i="2"/>
  <c r="O47" i="2" s="1"/>
  <c r="W28" i="2" s="1"/>
  <c r="K48" i="2"/>
  <c r="O48" i="2" s="1"/>
  <c r="W29" i="2" s="1"/>
  <c r="K49" i="2"/>
  <c r="O49" i="2" s="1"/>
  <c r="W30" i="2" s="1"/>
  <c r="K50" i="2"/>
  <c r="O50" i="2" s="1"/>
  <c r="W31" i="2" s="1"/>
  <c r="K51" i="2"/>
  <c r="O51" i="2" s="1"/>
  <c r="W32" i="2" s="1"/>
  <c r="K52" i="2"/>
  <c r="O52" i="2" s="1"/>
  <c r="W33" i="2" s="1"/>
  <c r="K53" i="2"/>
  <c r="O53" i="2" s="1"/>
  <c r="W34" i="2" s="1"/>
  <c r="AM34" i="2" s="1"/>
  <c r="K54" i="2"/>
  <c r="O54" i="2" s="1"/>
  <c r="W35" i="2" s="1"/>
  <c r="AM35" i="2" s="1"/>
  <c r="K55" i="2"/>
  <c r="O55" i="2" s="1"/>
  <c r="W36" i="2" s="1"/>
  <c r="AM36" i="2" s="1"/>
  <c r="K56" i="2"/>
  <c r="O56" i="2" s="1"/>
  <c r="W37" i="2" s="1"/>
  <c r="AM37" i="2" s="1"/>
  <c r="K57" i="2"/>
  <c r="O57" i="2" s="1"/>
  <c r="W38" i="2" s="1"/>
  <c r="AM38" i="2" s="1"/>
  <c r="K58" i="2"/>
  <c r="O58" i="2" s="1"/>
  <c r="W39" i="2" s="1"/>
  <c r="AM39" i="2" s="1"/>
  <c r="K59" i="2"/>
  <c r="O59" i="2" s="1"/>
  <c r="K60" i="2"/>
  <c r="O60" i="2" s="1"/>
  <c r="AB22" i="2" s="1"/>
  <c r="K61" i="2"/>
  <c r="O61" i="2" s="1"/>
  <c r="AB24" i="2" s="1"/>
  <c r="K62" i="2"/>
  <c r="O62" i="2" s="1"/>
  <c r="K63" i="2"/>
  <c r="O63" i="2" s="1"/>
  <c r="K64" i="2"/>
  <c r="O64" i="2" s="1"/>
  <c r="AB25" i="2" s="1"/>
  <c r="K65" i="2"/>
  <c r="O65" i="2" s="1"/>
  <c r="AB27" i="2" s="1"/>
  <c r="K66" i="2"/>
  <c r="O66" i="2" s="1"/>
  <c r="K67" i="2"/>
  <c r="O67" i="2" s="1"/>
  <c r="K68" i="2"/>
  <c r="O68" i="2" s="1"/>
  <c r="AB28" i="2" s="1"/>
  <c r="K69" i="2"/>
  <c r="O69" i="2" s="1"/>
  <c r="AB30" i="2" s="1"/>
  <c r="K70" i="2"/>
  <c r="O70" i="2" s="1"/>
  <c r="K71" i="2"/>
  <c r="O71" i="2" s="1"/>
  <c r="K72" i="2"/>
  <c r="O72" i="2" s="1"/>
  <c r="AB31" i="2" s="1"/>
  <c r="K73" i="2"/>
  <c r="O73" i="2" s="1"/>
  <c r="AB33" i="2" s="1"/>
  <c r="K74" i="2"/>
  <c r="O74" i="2" s="1"/>
  <c r="K75" i="2"/>
  <c r="O75" i="2" s="1"/>
  <c r="K76" i="2"/>
  <c r="O76" i="2" s="1"/>
  <c r="K77" i="2"/>
  <c r="O77" i="2" s="1"/>
  <c r="K78" i="2"/>
  <c r="O78" i="2" s="1"/>
  <c r="AC22" i="2" s="1"/>
  <c r="K79" i="2"/>
  <c r="O79" i="2" s="1"/>
  <c r="AC23" i="2" s="1"/>
  <c r="K80" i="2"/>
  <c r="O80" i="2" s="1"/>
  <c r="AC24" i="2" s="1"/>
  <c r="K81" i="2"/>
  <c r="O81" i="2" s="1"/>
  <c r="AC25" i="2" s="1"/>
  <c r="K82" i="2"/>
  <c r="O82" i="2" s="1"/>
  <c r="AC26" i="2" s="1"/>
  <c r="K83" i="2"/>
  <c r="O83" i="2" s="1"/>
  <c r="AC27" i="2" s="1"/>
  <c r="K84" i="2"/>
  <c r="O84" i="2" s="1"/>
  <c r="AC28" i="2" s="1"/>
  <c r="K85" i="2"/>
  <c r="O85" i="2" s="1"/>
  <c r="AC29" i="2" s="1"/>
  <c r="K86" i="2"/>
  <c r="O86" i="2" s="1"/>
  <c r="AC30" i="2" s="1"/>
  <c r="K87" i="2"/>
  <c r="O87" i="2" s="1"/>
  <c r="AC31" i="2" s="1"/>
  <c r="K88" i="2"/>
  <c r="O88" i="2" s="1"/>
  <c r="AC32" i="2" s="1"/>
  <c r="K89" i="2"/>
  <c r="O89" i="2" s="1"/>
  <c r="AC33" i="2" s="1"/>
  <c r="K90" i="2"/>
  <c r="O90" i="2" s="1"/>
  <c r="AE22" i="2" s="1"/>
  <c r="K91" i="2"/>
  <c r="O91" i="2" s="1"/>
  <c r="AE23" i="2" s="1"/>
  <c r="K92" i="2"/>
  <c r="O92" i="2" s="1"/>
  <c r="AE24" i="2" s="1"/>
  <c r="K93" i="2"/>
  <c r="O93" i="2" s="1"/>
  <c r="AE25" i="2" s="1"/>
  <c r="K94" i="2"/>
  <c r="O94" i="2" s="1"/>
  <c r="AE26" i="2" s="1"/>
  <c r="K95" i="2"/>
  <c r="O95" i="2" s="1"/>
  <c r="AE27" i="2" s="1"/>
  <c r="K96" i="2"/>
  <c r="O96" i="2" s="1"/>
  <c r="AE28" i="2" s="1"/>
  <c r="K97" i="2"/>
  <c r="O97" i="2" s="1"/>
  <c r="AE29" i="2" s="1"/>
  <c r="K98" i="2"/>
  <c r="O98" i="2" s="1"/>
  <c r="AE30" i="2" s="1"/>
  <c r="K99" i="2"/>
  <c r="O99" i="2" s="1"/>
  <c r="AE31" i="2" s="1"/>
  <c r="K100" i="2"/>
  <c r="O100" i="2" s="1"/>
  <c r="AE32" i="2" s="1"/>
  <c r="K101" i="2"/>
  <c r="O101" i="2" s="1"/>
  <c r="AE33" i="2" s="1"/>
  <c r="AI55" i="2" l="1"/>
  <c r="AT80" i="2" s="1"/>
  <c r="AI48" i="2"/>
  <c r="AN54" i="2"/>
  <c r="AU79" i="2" s="1"/>
  <c r="AN47" i="2"/>
  <c r="AN52" i="2"/>
  <c r="AU77" i="2" s="1"/>
  <c r="AN45" i="2"/>
  <c r="AM54" i="2"/>
  <c r="AM47" i="2"/>
  <c r="AK55" i="2"/>
  <c r="AK48" i="2"/>
  <c r="AL54" i="2"/>
  <c r="AL47" i="2"/>
  <c r="AM55" i="2"/>
  <c r="G30" i="10" s="1"/>
  <c r="P58" i="10" s="1"/>
  <c r="AM48" i="2"/>
  <c r="AJ54" i="2"/>
  <c r="AJ47" i="2"/>
  <c r="F17" i="10"/>
  <c r="O6" i="10" s="1"/>
  <c r="AL50" i="2"/>
  <c r="F25" i="10" s="1"/>
  <c r="O10" i="10" s="1"/>
  <c r="AL43" i="2"/>
  <c r="AN55" i="2"/>
  <c r="AU80" i="2" s="1"/>
  <c r="AN48" i="2"/>
  <c r="AI54" i="2"/>
  <c r="AT79" i="2" s="1"/>
  <c r="AI47" i="2"/>
  <c r="AN53" i="2"/>
  <c r="AU78" i="2" s="1"/>
  <c r="AN46" i="2"/>
  <c r="AX24" i="2"/>
  <c r="AI52" i="2"/>
  <c r="AT77" i="2" s="1"/>
  <c r="AI45" i="2"/>
  <c r="AN51" i="2"/>
  <c r="AU76" i="2" s="1"/>
  <c r="AN44" i="2"/>
  <c r="AK54" i="2"/>
  <c r="AK47" i="2"/>
  <c r="AJ48" i="2"/>
  <c r="D22" i="10" s="1"/>
  <c r="M55" i="10" s="1"/>
  <c r="AJ55" i="2"/>
  <c r="D30" i="10" s="1"/>
  <c r="M58" i="10" s="1"/>
  <c r="AI50" i="2"/>
  <c r="AT75" i="2" s="1"/>
  <c r="AI43" i="2"/>
  <c r="AX25" i="2"/>
  <c r="AI53" i="2"/>
  <c r="AT78" i="2" s="1"/>
  <c r="AI46" i="2"/>
  <c r="AX23" i="2"/>
  <c r="AI51" i="2"/>
  <c r="AT76" i="2" s="1"/>
  <c r="AI44" i="2"/>
  <c r="AN43" i="2"/>
  <c r="AN50" i="2"/>
  <c r="AU75" i="2" s="1"/>
  <c r="AL52" i="2"/>
  <c r="AL45" i="2"/>
  <c r="F19" i="10" s="1"/>
  <c r="O26" i="10" s="1"/>
  <c r="AO39" i="2"/>
  <c r="AL55" i="2"/>
  <c r="AL48" i="2"/>
  <c r="AL46" i="2"/>
  <c r="F20" i="10" s="1"/>
  <c r="O36" i="10" s="1"/>
  <c r="AL53" i="2"/>
  <c r="AL51" i="2"/>
  <c r="AL44" i="2"/>
  <c r="AM30" i="2"/>
  <c r="AM28" i="2"/>
  <c r="AM26" i="2"/>
  <c r="AM24" i="2"/>
  <c r="AK33" i="2"/>
  <c r="AK31" i="2"/>
  <c r="AK29" i="2"/>
  <c r="AK25" i="2"/>
  <c r="AK23" i="2"/>
  <c r="AJ33" i="2"/>
  <c r="AJ30" i="2"/>
  <c r="AJ27" i="2"/>
  <c r="AJ24" i="2"/>
  <c r="AK27" i="2"/>
  <c r="AO38" i="2"/>
  <c r="E21" i="10"/>
  <c r="N46" i="10" s="1"/>
  <c r="E29" i="10"/>
  <c r="N49" i="10" s="1"/>
  <c r="AK32" i="2"/>
  <c r="AK30" i="2"/>
  <c r="AK28" i="2"/>
  <c r="AK24" i="2"/>
  <c r="AK22" i="2"/>
  <c r="D21" i="10"/>
  <c r="M46" i="10" s="1"/>
  <c r="D29" i="10"/>
  <c r="M49" i="10" s="1"/>
  <c r="AJ31" i="2"/>
  <c r="AJ28" i="2"/>
  <c r="AJ25" i="2"/>
  <c r="AK26" i="2"/>
  <c r="G21" i="10"/>
  <c r="P46" i="10" s="1"/>
  <c r="G29" i="10"/>
  <c r="P49" i="10" s="1"/>
  <c r="AM32" i="2"/>
  <c r="AM22" i="2"/>
  <c r="E22" i="10"/>
  <c r="N55" i="10" s="1"/>
  <c r="E30" i="10"/>
  <c r="N58" i="10" s="1"/>
  <c r="G22" i="10"/>
  <c r="P55" i="10" s="1"/>
  <c r="AM33" i="2"/>
  <c r="AM31" i="2"/>
  <c r="AM29" i="2"/>
  <c r="AM27" i="2"/>
  <c r="AM25" i="2"/>
  <c r="AM23" i="2"/>
  <c r="C25" i="10"/>
  <c r="L10" i="10" s="1"/>
  <c r="AX22" i="2"/>
  <c r="AO37" i="2"/>
  <c r="F22" i="10"/>
  <c r="O55" i="10" s="1"/>
  <c r="AO36" i="2"/>
  <c r="D59" i="9" s="1"/>
  <c r="G59" i="9" s="1"/>
  <c r="AS26" i="2"/>
  <c r="AO35" i="2"/>
  <c r="D58" i="9" s="1"/>
  <c r="G58" i="9" s="1"/>
  <c r="AR26" i="2"/>
  <c r="AO34" i="2"/>
  <c r="D57" i="9" s="1"/>
  <c r="G57" i="9" s="1"/>
  <c r="AQ26" i="2"/>
  <c r="F21" i="10"/>
  <c r="O46" i="10" s="1"/>
  <c r="AO33" i="2"/>
  <c r="D56" i="9" s="1"/>
  <c r="G56" i="9" s="1"/>
  <c r="AS25" i="2"/>
  <c r="AO32" i="2"/>
  <c r="D55" i="9" s="1"/>
  <c r="G55" i="9" s="1"/>
  <c r="AR25" i="2"/>
  <c r="AO31" i="2"/>
  <c r="D54" i="9" s="1"/>
  <c r="G54" i="9" s="1"/>
  <c r="AQ25" i="2"/>
  <c r="AO30" i="2"/>
  <c r="D53" i="9" s="1"/>
  <c r="G53" i="9" s="1"/>
  <c r="AS24" i="2"/>
  <c r="AO29" i="2"/>
  <c r="D52" i="9" s="1"/>
  <c r="G52" i="9" s="1"/>
  <c r="AR24" i="2"/>
  <c r="AO28" i="2"/>
  <c r="D51" i="9" s="1"/>
  <c r="G51" i="9" s="1"/>
  <c r="AQ24" i="2"/>
  <c r="AO27" i="2"/>
  <c r="D50" i="9" s="1"/>
  <c r="G50" i="9" s="1"/>
  <c r="AS23" i="2"/>
  <c r="AO26" i="2"/>
  <c r="D49" i="9" s="1"/>
  <c r="G49" i="9" s="1"/>
  <c r="AR23" i="2"/>
  <c r="AO25" i="2"/>
  <c r="D48" i="9" s="1"/>
  <c r="G48" i="9" s="1"/>
  <c r="AQ23" i="2"/>
  <c r="AO24" i="2"/>
  <c r="D47" i="9" s="1"/>
  <c r="G47" i="9" s="1"/>
  <c r="AS22" i="2"/>
  <c r="AO23" i="2"/>
  <c r="D46" i="9" s="1"/>
  <c r="G46" i="9" s="1"/>
  <c r="AR22" i="2"/>
  <c r="H25" i="10"/>
  <c r="Q10" i="10" s="1"/>
  <c r="AO22" i="2"/>
  <c r="D45" i="9" s="1"/>
  <c r="G45" i="9" s="1"/>
  <c r="AQ22" i="2"/>
  <c r="AX27" i="2"/>
  <c r="AX26" i="2"/>
  <c r="D62" i="9"/>
  <c r="G62" i="9" s="1"/>
  <c r="AS27" i="2"/>
  <c r="D61" i="9"/>
  <c r="G61" i="9" s="1"/>
  <c r="AR27" i="2"/>
  <c r="D60" i="9"/>
  <c r="G60" i="9" s="1"/>
  <c r="AQ27" i="2"/>
  <c r="H30" i="10"/>
  <c r="Q58" i="10" s="1"/>
  <c r="F18" i="10"/>
  <c r="O16" i="10" s="1"/>
  <c r="H29" i="10"/>
  <c r="Q49" i="10" s="1"/>
  <c r="H28" i="10"/>
  <c r="Q40" i="10" s="1"/>
  <c r="F30" i="10"/>
  <c r="O58" i="10" s="1"/>
  <c r="F28" i="10"/>
  <c r="O40" i="10" s="1"/>
  <c r="F26" i="10"/>
  <c r="O20" i="10" s="1"/>
  <c r="F29" i="10"/>
  <c r="O49" i="10" s="1"/>
  <c r="F27" i="10"/>
  <c r="O30" i="10" s="1"/>
  <c r="C27" i="10"/>
  <c r="L30" i="10" s="1"/>
  <c r="F7" i="7"/>
  <c r="F19" i="7" s="1"/>
  <c r="H19" i="7" s="1"/>
  <c r="J19" i="7" s="1"/>
  <c r="E7" i="7"/>
  <c r="E19" i="7" s="1"/>
  <c r="G19" i="7" s="1"/>
  <c r="I19" i="7" s="1"/>
  <c r="O22" i="6"/>
  <c r="W25" i="6" s="1"/>
  <c r="O23" i="6"/>
  <c r="W26" i="6" s="1"/>
  <c r="D29" i="6"/>
  <c r="D30" i="6" s="1"/>
  <c r="I6" i="6"/>
  <c r="K15" i="6" s="1"/>
  <c r="I7" i="6"/>
  <c r="K14" i="6" s="1"/>
  <c r="N21" i="6" s="1"/>
  <c r="I8" i="6"/>
  <c r="I5" i="6"/>
  <c r="G54" i="3"/>
  <c r="H54" i="3"/>
  <c r="F54" i="3"/>
  <c r="G48" i="3"/>
  <c r="H48" i="3"/>
  <c r="F48" i="3"/>
  <c r="G43" i="3"/>
  <c r="H43" i="3"/>
  <c r="G44" i="3"/>
  <c r="H44" i="3"/>
  <c r="G45" i="3"/>
  <c r="H45" i="3"/>
  <c r="G46" i="3"/>
  <c r="H46" i="3"/>
  <c r="G47" i="3"/>
  <c r="H47" i="3"/>
  <c r="G49" i="3"/>
  <c r="J49" i="3" s="1"/>
  <c r="AC28" i="3" s="1"/>
  <c r="H49" i="3"/>
  <c r="G50" i="3"/>
  <c r="H50" i="3"/>
  <c r="G51" i="3"/>
  <c r="H51" i="3"/>
  <c r="G52" i="3"/>
  <c r="H52" i="3"/>
  <c r="G53" i="3"/>
  <c r="J53" i="3" s="1"/>
  <c r="AC32" i="3" s="1"/>
  <c r="H53" i="3"/>
  <c r="F44" i="3"/>
  <c r="F45" i="3"/>
  <c r="F46" i="3"/>
  <c r="F47" i="3"/>
  <c r="F49" i="3"/>
  <c r="F50" i="3"/>
  <c r="F51" i="3"/>
  <c r="F52" i="3"/>
  <c r="F53" i="3"/>
  <c r="F43" i="3"/>
  <c r="N63" i="3"/>
  <c r="N62" i="3"/>
  <c r="N61" i="3"/>
  <c r="N60" i="3"/>
  <c r="N59" i="3"/>
  <c r="F63" i="3"/>
  <c r="F62" i="3"/>
  <c r="F61" i="3"/>
  <c r="F60" i="3"/>
  <c r="F59" i="3"/>
  <c r="J50" i="3"/>
  <c r="AC29" i="3" s="1"/>
  <c r="J51" i="3"/>
  <c r="AC30" i="3" s="1"/>
  <c r="P83" i="1"/>
  <c r="P82" i="1"/>
  <c r="R82" i="1"/>
  <c r="I83" i="1"/>
  <c r="R80" i="1"/>
  <c r="Q83" i="1"/>
  <c r="Q80" i="1"/>
  <c r="I4" i="1"/>
  <c r="S9" i="1"/>
  <c r="S13" i="1"/>
  <c r="S5" i="1"/>
  <c r="I66" i="1"/>
  <c r="P80" i="1" s="1"/>
  <c r="I67" i="1"/>
  <c r="S6" i="1" s="1"/>
  <c r="I68" i="1"/>
  <c r="S7" i="1" s="1"/>
  <c r="I69" i="1"/>
  <c r="P81" i="1" s="1"/>
  <c r="I70" i="1"/>
  <c r="I71" i="1"/>
  <c r="S10" i="1" s="1"/>
  <c r="I72" i="1"/>
  <c r="S11" i="1" s="1"/>
  <c r="I73" i="1"/>
  <c r="S12" i="1" s="1"/>
  <c r="I74" i="1"/>
  <c r="I75" i="1"/>
  <c r="S14" i="1" s="1"/>
  <c r="I76" i="1"/>
  <c r="S15" i="1" s="1"/>
  <c r="I77" i="1"/>
  <c r="S16" i="1" s="1"/>
  <c r="I78" i="1"/>
  <c r="I79" i="1"/>
  <c r="I80" i="1"/>
  <c r="Q81" i="1" s="1"/>
  <c r="I81" i="1"/>
  <c r="R81" i="1" s="1"/>
  <c r="I82" i="1"/>
  <c r="Q82" i="1" s="1"/>
  <c r="I84" i="1"/>
  <c r="I85" i="1"/>
  <c r="R83" i="1" s="1"/>
  <c r="AB12" i="1" l="1"/>
  <c r="W21" i="1"/>
  <c r="S19" i="1"/>
  <c r="AB15" i="1"/>
  <c r="W22" i="1"/>
  <c r="S27" i="1"/>
  <c r="H12" i="10" s="1"/>
  <c r="Q29" i="10" s="1"/>
  <c r="AB11" i="1"/>
  <c r="V21" i="1"/>
  <c r="S21" i="1"/>
  <c r="AB7" i="1"/>
  <c r="X19" i="1"/>
  <c r="AB10" i="1"/>
  <c r="X20" i="1"/>
  <c r="H46" i="10"/>
  <c r="Q50" i="10" s="1"/>
  <c r="AB16" i="1"/>
  <c r="X22" i="1"/>
  <c r="S28" i="1"/>
  <c r="H13" i="10" s="1"/>
  <c r="Q39" i="10" s="1"/>
  <c r="AB14" i="1"/>
  <c r="AD22" i="1" s="1"/>
  <c r="V22" i="1"/>
  <c r="S22" i="1"/>
  <c r="AB6" i="1"/>
  <c r="W19" i="1"/>
  <c r="H42" i="10"/>
  <c r="Q11" i="10" s="1"/>
  <c r="AB13" i="1"/>
  <c r="X21" i="1"/>
  <c r="M38" i="3"/>
  <c r="AQ34" i="3"/>
  <c r="C30" i="10"/>
  <c r="L58" i="10" s="1"/>
  <c r="V8" i="10" s="1"/>
  <c r="S8" i="1"/>
  <c r="H43" i="10"/>
  <c r="Q21" i="10" s="1"/>
  <c r="M25" i="3"/>
  <c r="AP30" i="3"/>
  <c r="M33" i="3"/>
  <c r="AR32" i="3"/>
  <c r="AM53" i="2"/>
  <c r="AM46" i="2"/>
  <c r="AJ52" i="2"/>
  <c r="AJ45" i="2"/>
  <c r="AK52" i="2"/>
  <c r="AK45" i="2"/>
  <c r="M34" i="3"/>
  <c r="AP33" i="3"/>
  <c r="M22" i="3"/>
  <c r="AP29" i="3"/>
  <c r="M32" i="3"/>
  <c r="AQ32" i="3"/>
  <c r="M26" i="3"/>
  <c r="AQ30" i="3"/>
  <c r="I54" i="3"/>
  <c r="U33" i="3" s="1"/>
  <c r="H39" i="10" s="1"/>
  <c r="Q56" i="10" s="1"/>
  <c r="M37" i="3"/>
  <c r="N37" i="3"/>
  <c r="E60" i="9" s="1"/>
  <c r="AP34" i="3"/>
  <c r="H26" i="10"/>
  <c r="Q20" i="10" s="1"/>
  <c r="C26" i="10"/>
  <c r="L20" i="10" s="1"/>
  <c r="AM51" i="2"/>
  <c r="AM44" i="2"/>
  <c r="AJ53" i="2"/>
  <c r="D28" i="10" s="1"/>
  <c r="M40" i="10" s="1"/>
  <c r="AJ46" i="2"/>
  <c r="AB9" i="1"/>
  <c r="W20" i="1"/>
  <c r="H44" i="10"/>
  <c r="Q31" i="10" s="1"/>
  <c r="M35" i="3"/>
  <c r="AQ33" i="3"/>
  <c r="M23" i="3"/>
  <c r="AQ29" i="3"/>
  <c r="AJ51" i="2"/>
  <c r="AJ44" i="2"/>
  <c r="D18" i="10" s="1"/>
  <c r="M16" i="10" s="1"/>
  <c r="M27" i="3"/>
  <c r="AR30" i="3"/>
  <c r="AK51" i="2"/>
  <c r="E26" i="10" s="1"/>
  <c r="N20" i="10" s="1"/>
  <c r="AK44" i="2"/>
  <c r="E18" i="10" s="1"/>
  <c r="N16" i="10" s="1"/>
  <c r="J52" i="3"/>
  <c r="AC31" i="3" s="1"/>
  <c r="M31" i="3"/>
  <c r="AP32" i="3"/>
  <c r="M36" i="3"/>
  <c r="AR33" i="3"/>
  <c r="M30" i="3"/>
  <c r="AR31" i="3"/>
  <c r="M24" i="3"/>
  <c r="AR29" i="3"/>
  <c r="M39" i="3"/>
  <c r="AR34" i="3"/>
  <c r="C29" i="10"/>
  <c r="L49" i="10" s="1"/>
  <c r="H27" i="10"/>
  <c r="Q30" i="10" s="1"/>
  <c r="C28" i="10"/>
  <c r="L40" i="10" s="1"/>
  <c r="AM50" i="2"/>
  <c r="AM43" i="2"/>
  <c r="AK50" i="2"/>
  <c r="AK43" i="2"/>
  <c r="E17" i="10" s="1"/>
  <c r="N6" i="10" s="1"/>
  <c r="AK53" i="2"/>
  <c r="E28" i="10" s="1"/>
  <c r="N40" i="10" s="1"/>
  <c r="AK46" i="2"/>
  <c r="E20" i="10" s="1"/>
  <c r="N36" i="10" s="1"/>
  <c r="AM52" i="2"/>
  <c r="AM45" i="2"/>
  <c r="G19" i="10" s="1"/>
  <c r="P26" i="10" s="1"/>
  <c r="S25" i="1"/>
  <c r="H10" i="10" s="1"/>
  <c r="Q9" i="10" s="1"/>
  <c r="AB5" i="1"/>
  <c r="AD19" i="1" s="1"/>
  <c r="V19" i="1"/>
  <c r="M28" i="3"/>
  <c r="AP31" i="3"/>
  <c r="M29" i="3"/>
  <c r="AQ31" i="3"/>
  <c r="K12" i="6"/>
  <c r="N28" i="6" s="1"/>
  <c r="I9" i="6"/>
  <c r="K11" i="6" s="1"/>
  <c r="K13" i="6" s="1"/>
  <c r="AR75" i="2"/>
  <c r="C17" i="10"/>
  <c r="L6" i="10" s="1"/>
  <c r="V56" i="9"/>
  <c r="AR80" i="2"/>
  <c r="C22" i="10"/>
  <c r="L55" i="10" s="1"/>
  <c r="V59" i="9"/>
  <c r="AR76" i="2"/>
  <c r="C18" i="10"/>
  <c r="L16" i="10" s="1"/>
  <c r="V57" i="9"/>
  <c r="AS76" i="2"/>
  <c r="H18" i="10"/>
  <c r="Q16" i="10" s="1"/>
  <c r="AO44" i="2"/>
  <c r="D13" i="9" s="1"/>
  <c r="G13" i="9" s="1"/>
  <c r="AS78" i="2"/>
  <c r="H20" i="10"/>
  <c r="Q36" i="10" s="1"/>
  <c r="AO46" i="2"/>
  <c r="D15" i="9" s="1"/>
  <c r="G15" i="9" s="1"/>
  <c r="AR79" i="2"/>
  <c r="C21" i="10"/>
  <c r="L46" i="10" s="1"/>
  <c r="G65" i="9"/>
  <c r="AS80" i="2"/>
  <c r="H22" i="10"/>
  <c r="Q55" i="10" s="1"/>
  <c r="G18" i="10"/>
  <c r="P16" i="10" s="1"/>
  <c r="G26" i="10"/>
  <c r="P20" i="10" s="1"/>
  <c r="G27" i="10"/>
  <c r="P30" i="10" s="1"/>
  <c r="D26" i="10"/>
  <c r="M20" i="10" s="1"/>
  <c r="D20" i="10"/>
  <c r="M36" i="10" s="1"/>
  <c r="AS75" i="2"/>
  <c r="H17" i="10"/>
  <c r="Q6" i="10" s="1"/>
  <c r="AO43" i="2"/>
  <c r="D12" i="9" s="1"/>
  <c r="G12" i="9" s="1"/>
  <c r="AR78" i="2"/>
  <c r="C20" i="10"/>
  <c r="L36" i="10" s="1"/>
  <c r="AR77" i="2"/>
  <c r="C19" i="10"/>
  <c r="L26" i="10" s="1"/>
  <c r="V58" i="9"/>
  <c r="AS77" i="2"/>
  <c r="H19" i="10"/>
  <c r="Q26" i="10" s="1"/>
  <c r="AO45" i="2"/>
  <c r="D14" i="9" s="1"/>
  <c r="G14" i="9" s="1"/>
  <c r="AO48" i="2"/>
  <c r="D17" i="9" s="1"/>
  <c r="G17" i="9" s="1"/>
  <c r="G66" i="9"/>
  <c r="G67" i="9"/>
  <c r="AS79" i="2"/>
  <c r="H21" i="10"/>
  <c r="Q46" i="10" s="1"/>
  <c r="AO47" i="2"/>
  <c r="D16" i="9" s="1"/>
  <c r="G16" i="9" s="1"/>
  <c r="G20" i="10"/>
  <c r="P36" i="10" s="1"/>
  <c r="G28" i="10"/>
  <c r="P40" i="10" s="1"/>
  <c r="G17" i="10"/>
  <c r="P6" i="10" s="1"/>
  <c r="G25" i="10"/>
  <c r="P10" i="10" s="1"/>
  <c r="D19" i="10"/>
  <c r="M26" i="10" s="1"/>
  <c r="D27" i="10"/>
  <c r="M30" i="10" s="1"/>
  <c r="E25" i="10"/>
  <c r="N10" i="10" s="1"/>
  <c r="E19" i="10"/>
  <c r="N26" i="10" s="1"/>
  <c r="E27" i="10"/>
  <c r="N30" i="10" s="1"/>
  <c r="H60" i="9"/>
  <c r="G68" i="9"/>
  <c r="N22" i="6"/>
  <c r="D32" i="6"/>
  <c r="N23" i="6" s="1"/>
  <c r="N24" i="6" s="1"/>
  <c r="F7" i="9"/>
  <c r="E16" i="7"/>
  <c r="G16" i="7" s="1"/>
  <c r="I16" i="7" s="1"/>
  <c r="E17" i="7"/>
  <c r="G17" i="7" s="1"/>
  <c r="I17" i="7" s="1"/>
  <c r="E18" i="7"/>
  <c r="G18" i="7" s="1"/>
  <c r="I18" i="7" s="1"/>
  <c r="F16" i="7"/>
  <c r="H16" i="7" s="1"/>
  <c r="J16" i="7" s="1"/>
  <c r="F17" i="7"/>
  <c r="H17" i="7" s="1"/>
  <c r="J17" i="7" s="1"/>
  <c r="F18" i="7"/>
  <c r="H18" i="7" s="1"/>
  <c r="J18" i="7" s="1"/>
  <c r="J54" i="3"/>
  <c r="AC33" i="3" s="1"/>
  <c r="I53" i="3"/>
  <c r="U32" i="3" s="1"/>
  <c r="I52" i="3"/>
  <c r="U31" i="3" s="1"/>
  <c r="I51" i="3"/>
  <c r="U30" i="3" s="1"/>
  <c r="I50" i="3"/>
  <c r="U29" i="3" s="1"/>
  <c r="I49" i="3"/>
  <c r="U28" i="3" s="1"/>
  <c r="R6" i="1"/>
  <c r="R10" i="1"/>
  <c r="R14" i="1"/>
  <c r="P7" i="1"/>
  <c r="P12" i="1"/>
  <c r="P5" i="1"/>
  <c r="O11" i="1"/>
  <c r="O10" i="1"/>
  <c r="O5" i="1"/>
  <c r="N9" i="1"/>
  <c r="T9" i="1" s="1"/>
  <c r="N13" i="1"/>
  <c r="T13" i="1" s="1"/>
  <c r="N5" i="1"/>
  <c r="T5" i="1" s="1"/>
  <c r="O6" i="1"/>
  <c r="I5" i="1"/>
  <c r="I6" i="1"/>
  <c r="O9" i="1" s="1"/>
  <c r="I7" i="1"/>
  <c r="O12" i="1" s="1"/>
  <c r="I8" i="1"/>
  <c r="O15" i="1" s="1"/>
  <c r="I9" i="1"/>
  <c r="I10" i="1"/>
  <c r="I11" i="1"/>
  <c r="I12" i="1"/>
  <c r="N6" i="1" s="1"/>
  <c r="I13" i="1"/>
  <c r="N7" i="1" s="1"/>
  <c r="I14" i="1"/>
  <c r="N8" i="1" s="1"/>
  <c r="I15" i="1"/>
  <c r="I16" i="1"/>
  <c r="N10" i="1" s="1"/>
  <c r="I17" i="1"/>
  <c r="N11" i="1" s="1"/>
  <c r="I18" i="1"/>
  <c r="N12" i="1" s="1"/>
  <c r="I19" i="1"/>
  <c r="I20" i="1"/>
  <c r="N14" i="1" s="1"/>
  <c r="I21" i="1"/>
  <c r="N15" i="1" s="1"/>
  <c r="I22" i="1"/>
  <c r="N16" i="1" s="1"/>
  <c r="I23" i="1"/>
  <c r="I24" i="1"/>
  <c r="O7" i="1" s="1"/>
  <c r="I25" i="1"/>
  <c r="O8" i="1" s="1"/>
  <c r="I26" i="1"/>
  <c r="I27" i="1"/>
  <c r="I28" i="1"/>
  <c r="O13" i="1" s="1"/>
  <c r="I29" i="1"/>
  <c r="O14" i="1" s="1"/>
  <c r="I30" i="1"/>
  <c r="O16" i="1" s="1"/>
  <c r="I31" i="1"/>
  <c r="I32" i="1"/>
  <c r="P6" i="1" s="1"/>
  <c r="I33" i="1"/>
  <c r="I34" i="1"/>
  <c r="P8" i="1" s="1"/>
  <c r="I35" i="1"/>
  <c r="P10" i="1" s="1"/>
  <c r="I36" i="1"/>
  <c r="P11" i="1" s="1"/>
  <c r="I37" i="1"/>
  <c r="I38" i="1"/>
  <c r="P14" i="1" s="1"/>
  <c r="I39" i="1"/>
  <c r="P15" i="1" s="1"/>
  <c r="I40" i="1"/>
  <c r="P16" i="1" s="1"/>
  <c r="I41" i="1"/>
  <c r="Q5" i="1" s="1"/>
  <c r="I42" i="1"/>
  <c r="Q6" i="1" s="1"/>
  <c r="I43" i="1"/>
  <c r="Q7" i="1" s="1"/>
  <c r="I44" i="1"/>
  <c r="Q8" i="1" s="1"/>
  <c r="I45" i="1"/>
  <c r="Q9" i="1" s="1"/>
  <c r="I46" i="1"/>
  <c r="Q10" i="1" s="1"/>
  <c r="I47" i="1"/>
  <c r="Q11" i="1" s="1"/>
  <c r="I48" i="1"/>
  <c r="Q12" i="1" s="1"/>
  <c r="I49" i="1"/>
  <c r="Q13" i="1" s="1"/>
  <c r="I50" i="1"/>
  <c r="Q14" i="1" s="1"/>
  <c r="I51" i="1"/>
  <c r="Q15" i="1" s="1"/>
  <c r="I52" i="1"/>
  <c r="Q16" i="1" s="1"/>
  <c r="I53" i="1"/>
  <c r="O80" i="1" s="1"/>
  <c r="I54" i="1"/>
  <c r="I55" i="1"/>
  <c r="R7" i="1" s="1"/>
  <c r="I56" i="1"/>
  <c r="O81" i="1" s="1"/>
  <c r="I57" i="1"/>
  <c r="R9" i="1" s="1"/>
  <c r="I58" i="1"/>
  <c r="I59" i="1"/>
  <c r="O82" i="1" s="1"/>
  <c r="I60" i="1"/>
  <c r="R12" i="1" s="1"/>
  <c r="I61" i="1"/>
  <c r="R13" i="1" s="1"/>
  <c r="I62" i="1"/>
  <c r="O83" i="1" s="1"/>
  <c r="I63" i="1"/>
  <c r="R15" i="1" s="1"/>
  <c r="I64" i="1"/>
  <c r="R16" i="1" s="1"/>
  <c r="Y27" i="3"/>
  <c r="Z27" i="3"/>
  <c r="X27" i="3"/>
  <c r="AA27" i="3"/>
  <c r="G42" i="3"/>
  <c r="H42" i="3"/>
  <c r="F42" i="3"/>
  <c r="G39" i="3"/>
  <c r="H39" i="3"/>
  <c r="F39" i="3"/>
  <c r="G37" i="3"/>
  <c r="H37" i="3"/>
  <c r="G38" i="3"/>
  <c r="H38" i="3"/>
  <c r="G40" i="3"/>
  <c r="H40" i="3"/>
  <c r="G41" i="3"/>
  <c r="H41" i="3"/>
  <c r="F38" i="3"/>
  <c r="F40" i="3"/>
  <c r="F41" i="3"/>
  <c r="F37" i="3"/>
  <c r="G28" i="3"/>
  <c r="H28" i="3"/>
  <c r="G29" i="3"/>
  <c r="H29" i="3"/>
  <c r="F29" i="3"/>
  <c r="F28" i="3"/>
  <c r="G26" i="3"/>
  <c r="H26" i="3"/>
  <c r="F26" i="3"/>
  <c r="F27" i="3"/>
  <c r="G27" i="3"/>
  <c r="H27" i="3"/>
  <c r="F30" i="3"/>
  <c r="G30" i="3"/>
  <c r="H30" i="3"/>
  <c r="G25" i="3"/>
  <c r="H25" i="3"/>
  <c r="F25" i="3"/>
  <c r="N15" i="3"/>
  <c r="N14" i="3"/>
  <c r="N13" i="3"/>
  <c r="N12" i="3"/>
  <c r="N11" i="3"/>
  <c r="F14" i="3"/>
  <c r="F13" i="3"/>
  <c r="F12" i="3"/>
  <c r="F11" i="3"/>
  <c r="G36" i="3"/>
  <c r="H36" i="3"/>
  <c r="F36" i="3"/>
  <c r="G33" i="3"/>
  <c r="H33" i="3"/>
  <c r="F33" i="3"/>
  <c r="N6" i="3"/>
  <c r="N5" i="3"/>
  <c r="N4" i="3"/>
  <c r="N3" i="3"/>
  <c r="O28" i="1" l="1"/>
  <c r="D13" i="10" s="1"/>
  <c r="M39" i="10" s="1"/>
  <c r="O22" i="1"/>
  <c r="D7" i="10" s="1"/>
  <c r="M35" i="10" s="1"/>
  <c r="N27" i="1"/>
  <c r="C12" i="10" s="1"/>
  <c r="L29" i="10" s="1"/>
  <c r="AA11" i="1"/>
  <c r="AC21" i="1" s="1"/>
  <c r="V14" i="1"/>
  <c r="T11" i="1"/>
  <c r="N21" i="1"/>
  <c r="Q26" i="1"/>
  <c r="F11" i="10" s="1"/>
  <c r="O19" i="10" s="1"/>
  <c r="Q20" i="1"/>
  <c r="F5" i="10" s="1"/>
  <c r="O15" i="10" s="1"/>
  <c r="P27" i="1"/>
  <c r="E12" i="10" s="1"/>
  <c r="N29" i="10" s="1"/>
  <c r="P21" i="1"/>
  <c r="E6" i="10" s="1"/>
  <c r="N25" i="10" s="1"/>
  <c r="N28" i="1"/>
  <c r="C13" i="10" s="1"/>
  <c r="L39" i="10" s="1"/>
  <c r="AA14" i="1"/>
  <c r="V15" i="1"/>
  <c r="T14" i="1"/>
  <c r="C54" i="9" s="1"/>
  <c r="F54" i="9" s="1"/>
  <c r="N22" i="1"/>
  <c r="AA10" i="1"/>
  <c r="X13" i="1"/>
  <c r="T10" i="1"/>
  <c r="AA6" i="1"/>
  <c r="W12" i="1"/>
  <c r="T6" i="1"/>
  <c r="O26" i="1"/>
  <c r="D11" i="10" s="1"/>
  <c r="M19" i="10" s="1"/>
  <c r="O20" i="1"/>
  <c r="D5" i="10" s="1"/>
  <c r="M15" i="10" s="1"/>
  <c r="V58" i="1"/>
  <c r="U9" i="6"/>
  <c r="C49" i="9"/>
  <c r="F49" i="9" s="1"/>
  <c r="Q27" i="1"/>
  <c r="F12" i="10" s="1"/>
  <c r="O29" i="10" s="1"/>
  <c r="Q21" i="1"/>
  <c r="F6" i="10" s="1"/>
  <c r="O25" i="10" s="1"/>
  <c r="V54" i="1"/>
  <c r="U5" i="6"/>
  <c r="C45" i="9"/>
  <c r="F45" i="9" s="1"/>
  <c r="Q25" i="1"/>
  <c r="F10" i="10" s="1"/>
  <c r="O9" i="10" s="1"/>
  <c r="Q19" i="1"/>
  <c r="F4" i="10" s="1"/>
  <c r="O5" i="10" s="1"/>
  <c r="AA15" i="1"/>
  <c r="W15" i="1"/>
  <c r="T15" i="1"/>
  <c r="C55" i="9" s="1"/>
  <c r="F55" i="9" s="1"/>
  <c r="AA7" i="1"/>
  <c r="X12" i="1"/>
  <c r="T7" i="1"/>
  <c r="Q28" i="1"/>
  <c r="F13" i="10" s="1"/>
  <c r="O39" i="10" s="1"/>
  <c r="Q22" i="1"/>
  <c r="F7" i="10" s="1"/>
  <c r="O35" i="10" s="1"/>
  <c r="P28" i="1"/>
  <c r="E13" i="10" s="1"/>
  <c r="N39" i="10" s="1"/>
  <c r="P22" i="1"/>
  <c r="E7" i="10" s="1"/>
  <c r="N35" i="10" s="1"/>
  <c r="P26" i="1"/>
  <c r="E11" i="10" s="1"/>
  <c r="N19" i="10" s="1"/>
  <c r="P20" i="1"/>
  <c r="E5" i="10" s="1"/>
  <c r="N15" i="10" s="1"/>
  <c r="AA16" i="1"/>
  <c r="X15" i="1"/>
  <c r="T16" i="1"/>
  <c r="C56" i="9" s="1"/>
  <c r="F56" i="9" s="1"/>
  <c r="AA12" i="1"/>
  <c r="W14" i="1"/>
  <c r="T12" i="1"/>
  <c r="N26" i="1"/>
  <c r="C11" i="10" s="1"/>
  <c r="L19" i="10" s="1"/>
  <c r="AA8" i="1"/>
  <c r="V13" i="1"/>
  <c r="N20" i="1"/>
  <c r="V62" i="1"/>
  <c r="U13" i="6"/>
  <c r="C53" i="9"/>
  <c r="F53" i="9" s="1"/>
  <c r="O21" i="1"/>
  <c r="D6" i="10" s="1"/>
  <c r="M25" i="10" s="1"/>
  <c r="O25" i="1"/>
  <c r="D10" i="10" s="1"/>
  <c r="M9" i="10" s="1"/>
  <c r="P25" i="1"/>
  <c r="E10" i="10" s="1"/>
  <c r="N9" i="10" s="1"/>
  <c r="R28" i="1"/>
  <c r="G13" i="10" s="1"/>
  <c r="P39" i="10" s="1"/>
  <c r="H36" i="10"/>
  <c r="Q27" i="10" s="1"/>
  <c r="N30" i="6"/>
  <c r="N29" i="6"/>
  <c r="AB21" i="1"/>
  <c r="H6" i="10"/>
  <c r="Q25" i="10" s="1"/>
  <c r="T21" i="1"/>
  <c r="C14" i="9" s="1"/>
  <c r="F14" i="9" s="1"/>
  <c r="AB19" i="1"/>
  <c r="H4" i="10"/>
  <c r="Q5" i="10" s="1"/>
  <c r="T19" i="1"/>
  <c r="C12" i="9" s="1"/>
  <c r="F12" i="9" s="1"/>
  <c r="O19" i="1"/>
  <c r="D4" i="10" s="1"/>
  <c r="M5" i="10" s="1"/>
  <c r="H37" i="10"/>
  <c r="Q37" i="10" s="1"/>
  <c r="N25" i="1"/>
  <c r="C10" i="10" s="1"/>
  <c r="L9" i="10" s="1"/>
  <c r="AA5" i="1"/>
  <c r="U46" i="1"/>
  <c r="V12" i="1"/>
  <c r="AA13" i="1"/>
  <c r="X14" i="1"/>
  <c r="AA9" i="1"/>
  <c r="W13" i="1"/>
  <c r="O27" i="1"/>
  <c r="D12" i="10" s="1"/>
  <c r="M29" i="10" s="1"/>
  <c r="R8" i="1"/>
  <c r="P19" i="1"/>
  <c r="E4" i="10" s="1"/>
  <c r="N5" i="10" s="1"/>
  <c r="AB22" i="1"/>
  <c r="H7" i="10"/>
  <c r="Q35" i="10" s="1"/>
  <c r="R11" i="1"/>
  <c r="N19" i="1"/>
  <c r="R22" i="1"/>
  <c r="G7" i="10" s="1"/>
  <c r="P35" i="10" s="1"/>
  <c r="H34" i="10"/>
  <c r="Q7" i="10" s="1"/>
  <c r="H38" i="10"/>
  <c r="Q47" i="10" s="1"/>
  <c r="V7" i="10"/>
  <c r="R5" i="1"/>
  <c r="H35" i="10"/>
  <c r="Q17" i="10" s="1"/>
  <c r="H47" i="10"/>
  <c r="Q59" i="10" s="1"/>
  <c r="I24" i="7"/>
  <c r="I23" i="7"/>
  <c r="V5" i="10"/>
  <c r="H45" i="10"/>
  <c r="Q41" i="10" s="1"/>
  <c r="S26" i="1"/>
  <c r="AB8" i="1"/>
  <c r="AD20" i="1" s="1"/>
  <c r="T8" i="1"/>
  <c r="V20" i="1"/>
  <c r="S20" i="1"/>
  <c r="AD21" i="1"/>
  <c r="I22" i="7"/>
  <c r="I21" i="7"/>
  <c r="N25" i="6"/>
  <c r="N26" i="6" s="1"/>
  <c r="K4" i="2"/>
  <c r="O4" i="2" s="1"/>
  <c r="T22" i="2" s="1"/>
  <c r="AJ22" i="2" s="1"/>
  <c r="AC20" i="1" l="1"/>
  <c r="V59" i="1"/>
  <c r="U10" i="6"/>
  <c r="C50" i="9"/>
  <c r="F50" i="9" s="1"/>
  <c r="AA21" i="1"/>
  <c r="C6" i="10"/>
  <c r="L25" i="10" s="1"/>
  <c r="U7" i="10" s="1"/>
  <c r="U58" i="9"/>
  <c r="H11" i="10"/>
  <c r="Q19" i="10" s="1"/>
  <c r="V6" i="10" s="1"/>
  <c r="V10" i="10" s="1"/>
  <c r="T26" i="1"/>
  <c r="AJ50" i="2"/>
  <c r="AJ43" i="2"/>
  <c r="R25" i="1"/>
  <c r="G10" i="10" s="1"/>
  <c r="P9" i="10" s="1"/>
  <c r="R19" i="1"/>
  <c r="G4" i="10" s="1"/>
  <c r="P5" i="10" s="1"/>
  <c r="R26" i="1"/>
  <c r="G11" i="10" s="1"/>
  <c r="P19" i="10" s="1"/>
  <c r="R20" i="1"/>
  <c r="G5" i="10" s="1"/>
  <c r="P15" i="10" s="1"/>
  <c r="AC19" i="1"/>
  <c r="V55" i="1"/>
  <c r="V65" i="1" s="1"/>
  <c r="U6" i="6"/>
  <c r="U16" i="6" s="1"/>
  <c r="C46" i="9"/>
  <c r="F46" i="9" s="1"/>
  <c r="V60" i="1"/>
  <c r="U11" i="6"/>
  <c r="C51" i="9"/>
  <c r="F51" i="9" s="1"/>
  <c r="AB20" i="1"/>
  <c r="H5" i="10"/>
  <c r="Q15" i="10" s="1"/>
  <c r="T25" i="1"/>
  <c r="T20" i="1"/>
  <c r="C13" i="9" s="1"/>
  <c r="F13" i="9" s="1"/>
  <c r="R27" i="1"/>
  <c r="G12" i="10" s="1"/>
  <c r="P29" i="10" s="1"/>
  <c r="R21" i="1"/>
  <c r="G6" i="10" s="1"/>
  <c r="P25" i="10" s="1"/>
  <c r="F65" i="9"/>
  <c r="AA22" i="1"/>
  <c r="C7" i="10"/>
  <c r="L35" i="10" s="1"/>
  <c r="T22" i="1"/>
  <c r="C15" i="9" s="1"/>
  <c r="F15" i="9" s="1"/>
  <c r="V57" i="1"/>
  <c r="U8" i="6"/>
  <c r="C48" i="9"/>
  <c r="F48" i="9" s="1"/>
  <c r="AA19" i="1"/>
  <c r="C4" i="10"/>
  <c r="L5" i="10" s="1"/>
  <c r="U5" i="10" s="1"/>
  <c r="U56" i="9"/>
  <c r="N23" i="1"/>
  <c r="AA20" i="1"/>
  <c r="C5" i="10"/>
  <c r="L15" i="10" s="1"/>
  <c r="U57" i="9"/>
  <c r="V61" i="1"/>
  <c r="U12" i="6"/>
  <c r="U18" i="6" s="1"/>
  <c r="U31" i="6" s="1"/>
  <c r="C52" i="9"/>
  <c r="F52" i="9" s="1"/>
  <c r="V56" i="1"/>
  <c r="U7" i="6"/>
  <c r="C47" i="9"/>
  <c r="F47" i="9" s="1"/>
  <c r="F69" i="9" s="1"/>
  <c r="AC22" i="1"/>
  <c r="D17" i="10"/>
  <c r="M6" i="10" s="1"/>
  <c r="D25" i="10"/>
  <c r="M10" i="10" s="1"/>
  <c r="F20" i="3"/>
  <c r="G20" i="3"/>
  <c r="H20" i="3"/>
  <c r="F21" i="3"/>
  <c r="G21" i="3"/>
  <c r="H21" i="3"/>
  <c r="F22" i="3"/>
  <c r="G22" i="3"/>
  <c r="H22" i="3"/>
  <c r="F23" i="3"/>
  <c r="G23" i="3"/>
  <c r="H23" i="3"/>
  <c r="G24" i="3"/>
  <c r="H24" i="3"/>
  <c r="F31" i="3"/>
  <c r="G31" i="3"/>
  <c r="H31" i="3"/>
  <c r="F32" i="3"/>
  <c r="G32" i="3"/>
  <c r="H32" i="3"/>
  <c r="F34" i="3"/>
  <c r="G34" i="3"/>
  <c r="H34" i="3"/>
  <c r="F35" i="3"/>
  <c r="G35" i="3"/>
  <c r="H35" i="3"/>
  <c r="G19" i="3"/>
  <c r="H19" i="3"/>
  <c r="F19" i="3"/>
  <c r="F4" i="3"/>
  <c r="F5" i="3"/>
  <c r="F6" i="3"/>
  <c r="F7" i="3"/>
  <c r="F3" i="3"/>
  <c r="V69" i="1" l="1"/>
  <c r="V74" i="1"/>
  <c r="V78" i="1" s="1"/>
  <c r="L30" i="3"/>
  <c r="AR22" i="3"/>
  <c r="N30" i="3"/>
  <c r="E53" i="9" s="1"/>
  <c r="H53" i="9" s="1"/>
  <c r="L26" i="3"/>
  <c r="AQ21" i="3"/>
  <c r="N26" i="3"/>
  <c r="E49" i="9" s="1"/>
  <c r="H49" i="9" s="1"/>
  <c r="L38" i="3"/>
  <c r="AQ25" i="3"/>
  <c r="N38" i="3"/>
  <c r="E61" i="9" s="1"/>
  <c r="L33" i="3"/>
  <c r="AR23" i="3"/>
  <c r="N33" i="3"/>
  <c r="E56" i="9" s="1"/>
  <c r="H56" i="9" s="1"/>
  <c r="L29" i="3"/>
  <c r="AQ22" i="3"/>
  <c r="N29" i="3"/>
  <c r="E52" i="9" s="1"/>
  <c r="H52" i="9" s="1"/>
  <c r="L25" i="3"/>
  <c r="AP21" i="3"/>
  <c r="N25" i="3"/>
  <c r="E48" i="9" s="1"/>
  <c r="T27" i="1"/>
  <c r="V18" i="6"/>
  <c r="V31" i="6" s="1"/>
  <c r="V16" i="6"/>
  <c r="V20" i="6" s="1"/>
  <c r="V21" i="6" s="1"/>
  <c r="V22" i="6" s="1"/>
  <c r="V25" i="6" s="1"/>
  <c r="L34" i="3"/>
  <c r="AP24" i="3"/>
  <c r="N34" i="3"/>
  <c r="E57" i="9" s="1"/>
  <c r="H57" i="9" s="1"/>
  <c r="M69" i="9"/>
  <c r="M75" i="9" s="1"/>
  <c r="F71" i="9"/>
  <c r="F67" i="9"/>
  <c r="L24" i="3"/>
  <c r="AR20" i="3"/>
  <c r="N24" i="3"/>
  <c r="E47" i="9" s="1"/>
  <c r="H47" i="9" s="1"/>
  <c r="L36" i="3"/>
  <c r="AR24" i="3"/>
  <c r="N36" i="3"/>
  <c r="E59" i="9" s="1"/>
  <c r="H59" i="9" s="1"/>
  <c r="L32" i="3"/>
  <c r="AQ23" i="3"/>
  <c r="N32" i="3"/>
  <c r="E55" i="9" s="1"/>
  <c r="H55" i="9" s="1"/>
  <c r="L28" i="3"/>
  <c r="AP22" i="3"/>
  <c r="N28" i="3"/>
  <c r="E51" i="9" s="1"/>
  <c r="F66" i="9"/>
  <c r="F70" i="9"/>
  <c r="U6" i="10"/>
  <c r="V67" i="1"/>
  <c r="W67" i="1"/>
  <c r="W65" i="1"/>
  <c r="L39" i="3"/>
  <c r="AR25" i="3"/>
  <c r="N39" i="3"/>
  <c r="E62" i="9" s="1"/>
  <c r="H62" i="9" s="1"/>
  <c r="W66" i="1"/>
  <c r="V66" i="1"/>
  <c r="L22" i="3"/>
  <c r="AP20" i="3"/>
  <c r="N22" i="3"/>
  <c r="E45" i="9" s="1"/>
  <c r="L23" i="3"/>
  <c r="AQ20" i="3"/>
  <c r="N23" i="3"/>
  <c r="E46" i="9" s="1"/>
  <c r="H46" i="9" s="1"/>
  <c r="L35" i="3"/>
  <c r="AQ24" i="3"/>
  <c r="N35" i="3"/>
  <c r="E58" i="9" s="1"/>
  <c r="H58" i="9" s="1"/>
  <c r="L31" i="3"/>
  <c r="AP23" i="3"/>
  <c r="N31" i="3"/>
  <c r="E54" i="9" s="1"/>
  <c r="H54" i="9" s="1"/>
  <c r="L27" i="3"/>
  <c r="AR21" i="3"/>
  <c r="N27" i="3"/>
  <c r="E50" i="9" s="1"/>
  <c r="H50" i="9" s="1"/>
  <c r="U17" i="6"/>
  <c r="U20" i="6" s="1"/>
  <c r="U21" i="6" s="1"/>
  <c r="U22" i="6" s="1"/>
  <c r="U25" i="6" s="1"/>
  <c r="U27" i="6" s="1"/>
  <c r="V17" i="6"/>
  <c r="J19" i="3"/>
  <c r="X28" i="3" s="1"/>
  <c r="I47" i="3"/>
  <c r="T32" i="3" s="1"/>
  <c r="G38" i="10" s="1"/>
  <c r="P47" i="10" s="1"/>
  <c r="I45" i="3"/>
  <c r="T30" i="3" s="1"/>
  <c r="G36" i="10" s="1"/>
  <c r="P27" i="10" s="1"/>
  <c r="I43" i="3"/>
  <c r="T28" i="3" s="1"/>
  <c r="G34" i="10" s="1"/>
  <c r="P7" i="10" s="1"/>
  <c r="I41" i="3"/>
  <c r="S32" i="3" s="1"/>
  <c r="F38" i="10" s="1"/>
  <c r="O47" i="10" s="1"/>
  <c r="I39" i="3"/>
  <c r="S30" i="3" s="1"/>
  <c r="F36" i="10" s="1"/>
  <c r="O27" i="10" s="1"/>
  <c r="I37" i="3"/>
  <c r="S28" i="3" s="1"/>
  <c r="F34" i="10" s="1"/>
  <c r="O7" i="10" s="1"/>
  <c r="I35" i="3"/>
  <c r="R32" i="3" s="1"/>
  <c r="E38" i="10" s="1"/>
  <c r="N47" i="10" s="1"/>
  <c r="I33" i="3"/>
  <c r="R30" i="3" s="1"/>
  <c r="E36" i="10" s="1"/>
  <c r="N27" i="10" s="1"/>
  <c r="I31" i="3"/>
  <c r="R28" i="3" s="1"/>
  <c r="E34" i="10" s="1"/>
  <c r="N7" i="10" s="1"/>
  <c r="I29" i="3"/>
  <c r="Q32" i="3" s="1"/>
  <c r="D38" i="10" s="1"/>
  <c r="M47" i="10" s="1"/>
  <c r="I27" i="3"/>
  <c r="Q30" i="3" s="1"/>
  <c r="D36" i="10" s="1"/>
  <c r="M27" i="10" s="1"/>
  <c r="I25" i="3"/>
  <c r="Q28" i="3" s="1"/>
  <c r="D34" i="10" s="1"/>
  <c r="M7" i="10" s="1"/>
  <c r="I23" i="3"/>
  <c r="P32" i="3" s="1"/>
  <c r="I21" i="3"/>
  <c r="P30" i="3" s="1"/>
  <c r="I48" i="3"/>
  <c r="T33" i="3" s="1"/>
  <c r="G39" i="10" s="1"/>
  <c r="P56" i="10" s="1"/>
  <c r="I46" i="3"/>
  <c r="T31" i="3" s="1"/>
  <c r="G37" i="10" s="1"/>
  <c r="P37" i="10" s="1"/>
  <c r="I44" i="3"/>
  <c r="T29" i="3" s="1"/>
  <c r="G35" i="10" s="1"/>
  <c r="P17" i="10" s="1"/>
  <c r="I42" i="3"/>
  <c r="S33" i="3" s="1"/>
  <c r="F39" i="10" s="1"/>
  <c r="O56" i="10" s="1"/>
  <c r="I40" i="3"/>
  <c r="S31" i="3" s="1"/>
  <c r="F37" i="10" s="1"/>
  <c r="O37" i="10" s="1"/>
  <c r="I38" i="3"/>
  <c r="S29" i="3" s="1"/>
  <c r="F35" i="10" s="1"/>
  <c r="O17" i="10" s="1"/>
  <c r="I36" i="3"/>
  <c r="R33" i="3" s="1"/>
  <c r="E39" i="10" s="1"/>
  <c r="N56" i="10" s="1"/>
  <c r="I34" i="3"/>
  <c r="R31" i="3" s="1"/>
  <c r="E37" i="10" s="1"/>
  <c r="N37" i="10" s="1"/>
  <c r="I32" i="3"/>
  <c r="R29" i="3" s="1"/>
  <c r="E35" i="10" s="1"/>
  <c r="N17" i="10" s="1"/>
  <c r="I30" i="3"/>
  <c r="Q33" i="3" s="1"/>
  <c r="D39" i="10" s="1"/>
  <c r="M56" i="10" s="1"/>
  <c r="I28" i="3"/>
  <c r="Q31" i="3" s="1"/>
  <c r="D37" i="10" s="1"/>
  <c r="M37" i="10" s="1"/>
  <c r="I26" i="3"/>
  <c r="Q29" i="3" s="1"/>
  <c r="D35" i="10" s="1"/>
  <c r="I24" i="3"/>
  <c r="P33" i="3" s="1"/>
  <c r="I22" i="3"/>
  <c r="P31" i="3" s="1"/>
  <c r="I20" i="3"/>
  <c r="P29" i="3" s="1"/>
  <c r="I19" i="3"/>
  <c r="P28" i="3" s="1"/>
  <c r="J48" i="3"/>
  <c r="AB33" i="3" s="1"/>
  <c r="G47" i="10" s="1"/>
  <c r="P59" i="10" s="1"/>
  <c r="J47" i="3"/>
  <c r="AB32" i="3" s="1"/>
  <c r="G46" i="10" s="1"/>
  <c r="P50" i="10" s="1"/>
  <c r="J46" i="3"/>
  <c r="AB31" i="3" s="1"/>
  <c r="G45" i="10" s="1"/>
  <c r="P41" i="10" s="1"/>
  <c r="J45" i="3"/>
  <c r="AB30" i="3" s="1"/>
  <c r="G44" i="10" s="1"/>
  <c r="P31" i="10" s="1"/>
  <c r="J44" i="3"/>
  <c r="AB29" i="3" s="1"/>
  <c r="G43" i="10" s="1"/>
  <c r="P21" i="10" s="1"/>
  <c r="J43" i="3"/>
  <c r="AB28" i="3" s="1"/>
  <c r="G42" i="10" s="1"/>
  <c r="P11" i="10" s="1"/>
  <c r="J42" i="3"/>
  <c r="AA33" i="3" s="1"/>
  <c r="F47" i="10" s="1"/>
  <c r="O59" i="10" s="1"/>
  <c r="J41" i="3"/>
  <c r="AA32" i="3" s="1"/>
  <c r="F46" i="10" s="1"/>
  <c r="O50" i="10" s="1"/>
  <c r="J40" i="3"/>
  <c r="AA31" i="3" s="1"/>
  <c r="F45" i="10" s="1"/>
  <c r="O41" i="10" s="1"/>
  <c r="J39" i="3"/>
  <c r="AA30" i="3" s="1"/>
  <c r="F44" i="10" s="1"/>
  <c r="O31" i="10" s="1"/>
  <c r="J38" i="3"/>
  <c r="AA29" i="3" s="1"/>
  <c r="F43" i="10" s="1"/>
  <c r="O21" i="10" s="1"/>
  <c r="J37" i="3"/>
  <c r="AA28" i="3" s="1"/>
  <c r="F42" i="10" s="1"/>
  <c r="O11" i="10" s="1"/>
  <c r="J36" i="3"/>
  <c r="Z33" i="3" s="1"/>
  <c r="E47" i="10" s="1"/>
  <c r="N59" i="10" s="1"/>
  <c r="J35" i="3"/>
  <c r="Z32" i="3" s="1"/>
  <c r="E46" i="10" s="1"/>
  <c r="N50" i="10" s="1"/>
  <c r="J34" i="3"/>
  <c r="Z31" i="3" s="1"/>
  <c r="E45" i="10" s="1"/>
  <c r="N41" i="10" s="1"/>
  <c r="J33" i="3"/>
  <c r="Z30" i="3" s="1"/>
  <c r="E44" i="10" s="1"/>
  <c r="N31" i="10" s="1"/>
  <c r="J32" i="3"/>
  <c r="Z29" i="3" s="1"/>
  <c r="E43" i="10" s="1"/>
  <c r="N21" i="10" s="1"/>
  <c r="J31" i="3"/>
  <c r="Z28" i="3" s="1"/>
  <c r="E42" i="10" s="1"/>
  <c r="N11" i="10" s="1"/>
  <c r="J30" i="3"/>
  <c r="Y33" i="3" s="1"/>
  <c r="D47" i="10" s="1"/>
  <c r="M59" i="10" s="1"/>
  <c r="J29" i="3"/>
  <c r="Y32" i="3" s="1"/>
  <c r="D46" i="10" s="1"/>
  <c r="M50" i="10" s="1"/>
  <c r="J28" i="3"/>
  <c r="Y31" i="3" s="1"/>
  <c r="D45" i="10" s="1"/>
  <c r="M41" i="10" s="1"/>
  <c r="J27" i="3"/>
  <c r="Y30" i="3" s="1"/>
  <c r="D44" i="10" s="1"/>
  <c r="M31" i="10" s="1"/>
  <c r="J26" i="3"/>
  <c r="Y29" i="3" s="1"/>
  <c r="D43" i="10" s="1"/>
  <c r="M21" i="10" s="1"/>
  <c r="J25" i="3"/>
  <c r="Y28" i="3" s="1"/>
  <c r="D42" i="10" s="1"/>
  <c r="M11" i="10" s="1"/>
  <c r="J24" i="3"/>
  <c r="X33" i="3" s="1"/>
  <c r="J23" i="3"/>
  <c r="X32" i="3" s="1"/>
  <c r="J22" i="3"/>
  <c r="X31" i="3" s="1"/>
  <c r="J21" i="3"/>
  <c r="X30" i="3" s="1"/>
  <c r="J20" i="3"/>
  <c r="X29" i="3" s="1"/>
  <c r="C37" i="10" l="1"/>
  <c r="L37" i="10" s="1"/>
  <c r="V31" i="3"/>
  <c r="E15" i="9" s="1"/>
  <c r="H15" i="9" s="1"/>
  <c r="C42" i="10"/>
  <c r="L11" i="10" s="1"/>
  <c r="X82" i="1"/>
  <c r="AA79" i="1"/>
  <c r="AA80" i="1" s="1"/>
  <c r="N73" i="9"/>
  <c r="N76" i="9" s="1"/>
  <c r="N77" i="9" s="1"/>
  <c r="H66" i="9"/>
  <c r="E74" i="9" s="1"/>
  <c r="V27" i="6"/>
  <c r="H61" i="9"/>
  <c r="E68" i="9"/>
  <c r="C43" i="10"/>
  <c r="L21" i="10" s="1"/>
  <c r="Z79" i="1"/>
  <c r="Z80" i="1" s="1"/>
  <c r="X75" i="1"/>
  <c r="X79" i="1" s="1"/>
  <c r="E67" i="9"/>
  <c r="I67" i="9" s="1"/>
  <c r="F75" i="9" s="1"/>
  <c r="H51" i="9"/>
  <c r="M71" i="9"/>
  <c r="H67" i="9"/>
  <c r="E75" i="9" s="1"/>
  <c r="M49" i="9"/>
  <c r="L49" i="9"/>
  <c r="C34" i="10"/>
  <c r="L7" i="10" s="1"/>
  <c r="T56" i="9"/>
  <c r="Y56" i="9" s="1"/>
  <c r="V28" i="3"/>
  <c r="E12" i="9" s="1"/>
  <c r="H12" i="9" s="1"/>
  <c r="G23" i="9" s="1"/>
  <c r="U23" i="9" s="1"/>
  <c r="C36" i="10"/>
  <c r="L27" i="10" s="1"/>
  <c r="T58" i="9"/>
  <c r="Y58" i="9" s="1"/>
  <c r="V30" i="3"/>
  <c r="E14" i="9" s="1"/>
  <c r="H14" i="9" s="1"/>
  <c r="I24" i="9" s="1"/>
  <c r="W24" i="9" s="1"/>
  <c r="M48" i="9"/>
  <c r="L48" i="9"/>
  <c r="V70" i="1"/>
  <c r="W75" i="1"/>
  <c r="W79" i="1" s="1"/>
  <c r="C46" i="10"/>
  <c r="L50" i="10" s="1"/>
  <c r="C44" i="10"/>
  <c r="L31" i="10" s="1"/>
  <c r="C45" i="10"/>
  <c r="L41" i="10" s="1"/>
  <c r="C35" i="10"/>
  <c r="L17" i="10" s="1"/>
  <c r="T57" i="9"/>
  <c r="Y57" i="9" s="1"/>
  <c r="V29" i="3"/>
  <c r="E13" i="9" s="1"/>
  <c r="H13" i="9" s="1"/>
  <c r="C38" i="10"/>
  <c r="L47" i="10" s="1"/>
  <c r="V32" i="3"/>
  <c r="E16" i="9" s="1"/>
  <c r="H16" i="9" s="1"/>
  <c r="E65" i="9"/>
  <c r="H45" i="9"/>
  <c r="W82" i="1"/>
  <c r="W70" i="1"/>
  <c r="V81" i="1"/>
  <c r="W69" i="1"/>
  <c r="E66" i="9"/>
  <c r="I66" i="9" s="1"/>
  <c r="F74" i="9" s="1"/>
  <c r="H48" i="9"/>
  <c r="C47" i="10"/>
  <c r="L59" i="10" s="1"/>
  <c r="AD33" i="3"/>
  <c r="C39" i="10"/>
  <c r="L56" i="10" s="1"/>
  <c r="U8" i="10" s="1"/>
  <c r="U10" i="10" s="1"/>
  <c r="T59" i="9"/>
  <c r="Y59" i="9" s="1"/>
  <c r="V33" i="3"/>
  <c r="E17" i="9" s="1"/>
  <c r="H17" i="9" s="1"/>
  <c r="I65" i="9" l="1"/>
  <c r="F73" i="9" s="1"/>
  <c r="H65" i="9"/>
  <c r="E73" i="9" s="1"/>
  <c r="L50" i="9"/>
  <c r="P48" i="9" s="1"/>
  <c r="M50" i="9"/>
  <c r="Q48" i="9" s="1"/>
  <c r="G76" i="9" s="1"/>
  <c r="M47" i="9"/>
  <c r="Q47" i="9" s="1"/>
  <c r="G75" i="9" s="1"/>
  <c r="L47" i="9"/>
  <c r="P47" i="9" s="1"/>
  <c r="D76" i="9"/>
  <c r="I68" i="9"/>
  <c r="F76" i="9" s="1"/>
  <c r="M46" i="9"/>
  <c r="L46" i="9"/>
  <c r="M45" i="9"/>
  <c r="L45" i="9"/>
  <c r="H24" i="9"/>
  <c r="V24" i="9" s="1"/>
  <c r="I13" i="9"/>
  <c r="J24" i="9"/>
  <c r="I12" i="9"/>
  <c r="P46" i="9" l="1"/>
  <c r="T46" i="9" s="1"/>
  <c r="O41" i="9"/>
  <c r="P45" i="9"/>
  <c r="T45" i="9" s="1"/>
  <c r="O40" i="9"/>
  <c r="Q45" i="9"/>
  <c r="P40" i="9"/>
  <c r="P41" i="9"/>
  <c r="Q46" i="9"/>
  <c r="X24" i="9"/>
  <c r="V29" i="9" s="1"/>
  <c r="J27" i="9"/>
  <c r="G74" i="9" l="1"/>
  <c r="U46" i="9"/>
  <c r="G73" i="9"/>
  <c r="U45" i="9"/>
</calcChain>
</file>

<file path=xl/sharedStrings.xml><?xml version="1.0" encoding="utf-8"?>
<sst xmlns="http://schemas.openxmlformats.org/spreadsheetml/2006/main" count="1745" uniqueCount="522">
  <si>
    <t>Average</t>
  </si>
  <si>
    <t>1a</t>
  </si>
  <si>
    <t>1b</t>
  </si>
  <si>
    <t>1c</t>
  </si>
  <si>
    <t>4a</t>
  </si>
  <si>
    <t>4b</t>
  </si>
  <si>
    <t>2a</t>
  </si>
  <si>
    <t>3a</t>
  </si>
  <si>
    <t>t4</t>
  </si>
  <si>
    <t>3b</t>
  </si>
  <si>
    <t>2b</t>
  </si>
  <si>
    <t>StDev</t>
  </si>
  <si>
    <t>A</t>
  </si>
  <si>
    <t>B</t>
  </si>
  <si>
    <t>C</t>
  </si>
  <si>
    <t>T0</t>
  </si>
  <si>
    <t>T1</t>
  </si>
  <si>
    <t>T2</t>
  </si>
  <si>
    <t>T3</t>
  </si>
  <si>
    <t>T4</t>
  </si>
  <si>
    <t>y-int</t>
  </si>
  <si>
    <t>slope</t>
  </si>
  <si>
    <t>4c</t>
  </si>
  <si>
    <t>2c</t>
  </si>
  <si>
    <t>3c</t>
  </si>
  <si>
    <t>bac.001</t>
  </si>
  <si>
    <t>bac.002</t>
  </si>
  <si>
    <t>bac.003</t>
  </si>
  <si>
    <t>bac.004</t>
  </si>
  <si>
    <t>bac.005</t>
  </si>
  <si>
    <t>bac.006</t>
  </si>
  <si>
    <t>bac.007</t>
  </si>
  <si>
    <t>bac.008</t>
  </si>
  <si>
    <t>bac.009</t>
  </si>
  <si>
    <t>bac.010</t>
  </si>
  <si>
    <t>bac.011</t>
  </si>
  <si>
    <t>bac.012</t>
  </si>
  <si>
    <t>bac.013</t>
  </si>
  <si>
    <t>bac.014</t>
  </si>
  <si>
    <t>bac.015</t>
  </si>
  <si>
    <t>bac.016</t>
  </si>
  <si>
    <t>bac.017</t>
  </si>
  <si>
    <t>bac.018</t>
  </si>
  <si>
    <t>bac.019</t>
  </si>
  <si>
    <t>bac.020</t>
  </si>
  <si>
    <t>bac.021</t>
  </si>
  <si>
    <t>bac.022</t>
  </si>
  <si>
    <t>bac.023</t>
  </si>
  <si>
    <t>bac.024</t>
  </si>
  <si>
    <t>bac.025</t>
  </si>
  <si>
    <t>bac.026</t>
  </si>
  <si>
    <t>bac.027</t>
  </si>
  <si>
    <t>bac.028</t>
  </si>
  <si>
    <t>bac.029</t>
  </si>
  <si>
    <t>bac.030</t>
  </si>
  <si>
    <t>bac.031</t>
  </si>
  <si>
    <t>bac.032</t>
  </si>
  <si>
    <t>bac.033</t>
  </si>
  <si>
    <t>bac.034</t>
  </si>
  <si>
    <t>bac.035</t>
  </si>
  <si>
    <t>bac.036</t>
  </si>
  <si>
    <t>bac.037</t>
  </si>
  <si>
    <t>bac.038</t>
  </si>
  <si>
    <t>bac.039</t>
  </si>
  <si>
    <t>bac.040</t>
  </si>
  <si>
    <t>bac.041</t>
  </si>
  <si>
    <t>bac.042</t>
  </si>
  <si>
    <t>bac.043</t>
  </si>
  <si>
    <t>bac.044</t>
  </si>
  <si>
    <t>bac.045</t>
  </si>
  <si>
    <t>bac.046</t>
  </si>
  <si>
    <t>bac.047</t>
  </si>
  <si>
    <t>bac.048</t>
  </si>
  <si>
    <t>Sample ID</t>
  </si>
  <si>
    <t>Dilution factor</t>
  </si>
  <si>
    <t>Acquisition time (min)</t>
  </si>
  <si>
    <t>Sample volume (µl)</t>
  </si>
  <si>
    <t>SYBR Green (µl)</t>
  </si>
  <si>
    <t>Total volume (µl)</t>
  </si>
  <si>
    <t>Flow mode</t>
  </si>
  <si>
    <r>
      <t>Flow rate (µl min</t>
    </r>
    <r>
      <rPr>
        <b/>
        <vertAlign val="superscript"/>
        <sz val="10"/>
        <color indexed="0"/>
        <rFont val="Helvetica Neue"/>
      </rPr>
      <t>-1</t>
    </r>
    <r>
      <rPr>
        <b/>
        <sz val="10"/>
        <color indexed="0"/>
        <rFont val="Helvetica Neue"/>
      </rPr>
      <t>)</t>
    </r>
  </si>
  <si>
    <t>HNA (events)</t>
  </si>
  <si>
    <t>HNA (105 ml-1)</t>
  </si>
  <si>
    <t>Med</t>
  </si>
  <si>
    <t>5a</t>
  </si>
  <si>
    <t>5b</t>
  </si>
  <si>
    <t>5c</t>
  </si>
  <si>
    <t>6a</t>
  </si>
  <si>
    <t>6b</t>
  </si>
  <si>
    <t>6c</t>
  </si>
  <si>
    <t>DC2+Bac</t>
  </si>
  <si>
    <t>DC2+Bac+Lys</t>
  </si>
  <si>
    <t>DC2+Lys</t>
  </si>
  <si>
    <t>DC2</t>
  </si>
  <si>
    <t>Bac</t>
  </si>
  <si>
    <t>Bac+Lys</t>
  </si>
  <si>
    <t>11am</t>
  </si>
  <si>
    <t>bac.061</t>
  </si>
  <si>
    <t>bac.062</t>
  </si>
  <si>
    <t>bac.063</t>
  </si>
  <si>
    <t>bac.064</t>
  </si>
  <si>
    <t>bac.065</t>
  </si>
  <si>
    <t>bac.066</t>
  </si>
  <si>
    <t>bac.067</t>
  </si>
  <si>
    <t>bac.068</t>
  </si>
  <si>
    <t>bac.069</t>
  </si>
  <si>
    <t>bac.070</t>
  </si>
  <si>
    <t>bac.071</t>
  </si>
  <si>
    <t>bac.072</t>
  </si>
  <si>
    <t>bac.085</t>
  </si>
  <si>
    <t>bac.086</t>
  </si>
  <si>
    <t>bac.087</t>
  </si>
  <si>
    <t>bac.088</t>
  </si>
  <si>
    <t>bac.089</t>
  </si>
  <si>
    <t>bac.090</t>
  </si>
  <si>
    <t>bac.091</t>
  </si>
  <si>
    <t>bac.092</t>
  </si>
  <si>
    <t>bac.093</t>
  </si>
  <si>
    <t>bac.094</t>
  </si>
  <si>
    <t>bac.095</t>
  </si>
  <si>
    <t>bac.096</t>
  </si>
  <si>
    <t>High</t>
  </si>
  <si>
    <t>pp.001</t>
  </si>
  <si>
    <t>pp.002</t>
  </si>
  <si>
    <t>pp.003</t>
  </si>
  <si>
    <t>pp.004</t>
  </si>
  <si>
    <t>pp.005</t>
  </si>
  <si>
    <t>pp.006</t>
  </si>
  <si>
    <t>pp.007</t>
  </si>
  <si>
    <t>Time (d)</t>
  </si>
  <si>
    <t>CHNR 1b t1</t>
  </si>
  <si>
    <t>CHNR 2b t1</t>
  </si>
  <si>
    <t>CHNR 3b t1</t>
  </si>
  <si>
    <t>CHNR 4b t1</t>
  </si>
  <si>
    <t>CHNR 5b t1</t>
  </si>
  <si>
    <t>CHNR 6b t1</t>
  </si>
  <si>
    <t>pp.014</t>
  </si>
  <si>
    <t>CHNR 1a t0</t>
  </si>
  <si>
    <t>pp.015</t>
  </si>
  <si>
    <t>CHNR 1b t0</t>
  </si>
  <si>
    <t>pp.016</t>
  </si>
  <si>
    <t>CHNR 1c t0</t>
  </si>
  <si>
    <t>pp.017</t>
  </si>
  <si>
    <t>CHNR 2a t0</t>
  </si>
  <si>
    <t>pp.018</t>
  </si>
  <si>
    <t>CHNR 2b t0</t>
  </si>
  <si>
    <t>pp.019</t>
  </si>
  <si>
    <t>CHNR 2c t0</t>
  </si>
  <si>
    <t>pp.020</t>
  </si>
  <si>
    <t>CHNR 3a t0</t>
  </si>
  <si>
    <t>pp.021</t>
  </si>
  <si>
    <t>CHNR 3b t0</t>
  </si>
  <si>
    <t>pp.022</t>
  </si>
  <si>
    <t>CHNR 3c t0</t>
  </si>
  <si>
    <t>pp.023</t>
  </si>
  <si>
    <t>CHNR 4a t0</t>
  </si>
  <si>
    <t>pp.024</t>
  </si>
  <si>
    <t>CHNR 4a t0_2</t>
  </si>
  <si>
    <t>pp.025</t>
  </si>
  <si>
    <t>CHNR 4c t0</t>
  </si>
  <si>
    <t>pp.029</t>
  </si>
  <si>
    <t>CHNR 1a t1</t>
  </si>
  <si>
    <t>pp.030</t>
  </si>
  <si>
    <t>CHNR 1c t1</t>
  </si>
  <si>
    <t>pp.031</t>
  </si>
  <si>
    <t>CHNR 2a t1</t>
  </si>
  <si>
    <t>pp.032</t>
  </si>
  <si>
    <t>CHNR 2c t1</t>
  </si>
  <si>
    <t>pp.033</t>
  </si>
  <si>
    <t>CHNR 3a t1</t>
  </si>
  <si>
    <t>pp.034</t>
  </si>
  <si>
    <t>CHNR 3c t1</t>
  </si>
  <si>
    <t>pp.035</t>
  </si>
  <si>
    <t>CHNR 4a t1</t>
  </si>
  <si>
    <t>pp.036</t>
  </si>
  <si>
    <t>CHNR 4c t1</t>
  </si>
  <si>
    <t>pp.037</t>
  </si>
  <si>
    <t>CHNR 1a t2</t>
  </si>
  <si>
    <t>pp.038</t>
  </si>
  <si>
    <t>CHNR 1b t2</t>
  </si>
  <si>
    <t>pp.039</t>
  </si>
  <si>
    <t>CHNR 1c t2</t>
  </si>
  <si>
    <t>pp.040</t>
  </si>
  <si>
    <t>CHNR 2a t2</t>
  </si>
  <si>
    <t>pp.041</t>
  </si>
  <si>
    <t>CHNR 2b t2</t>
  </si>
  <si>
    <t>pp.042</t>
  </si>
  <si>
    <t>CHNR 3a t2</t>
  </si>
  <si>
    <t>pp.043</t>
  </si>
  <si>
    <t>CHNR 3b t2</t>
  </si>
  <si>
    <t>pp.044</t>
  </si>
  <si>
    <t>CHNR 4a t2</t>
  </si>
  <si>
    <t>pp.045</t>
  </si>
  <si>
    <t>CHNR 4b t2</t>
  </si>
  <si>
    <t>pp.046</t>
  </si>
  <si>
    <t>CHNR 4c t2</t>
  </si>
  <si>
    <t>pp.047</t>
  </si>
  <si>
    <t>CHNR 1a t3</t>
  </si>
  <si>
    <t>pp.048</t>
  </si>
  <si>
    <t>CHNR 1b t3</t>
  </si>
  <si>
    <t>pp.049</t>
  </si>
  <si>
    <t>CHNR 1c t3</t>
  </si>
  <si>
    <t>pp.050</t>
  </si>
  <si>
    <t>CHNR 2a t3</t>
  </si>
  <si>
    <t>pp.051</t>
  </si>
  <si>
    <t>CHNR 2b t3</t>
  </si>
  <si>
    <t>pp.052</t>
  </si>
  <si>
    <t>CHNR 2c t3</t>
  </si>
  <si>
    <t>pp.053</t>
  </si>
  <si>
    <t>CHNR 3a t3</t>
  </si>
  <si>
    <t>pp.054</t>
  </si>
  <si>
    <t>CHNR 3b t3</t>
  </si>
  <si>
    <t>pp.055</t>
  </si>
  <si>
    <t>CHNR 3c t3</t>
  </si>
  <si>
    <t>pp.056</t>
  </si>
  <si>
    <t>CHNR 4a t3</t>
  </si>
  <si>
    <t>pp.057</t>
  </si>
  <si>
    <t>CHNR 4b t3</t>
  </si>
  <si>
    <t>pp.058</t>
  </si>
  <si>
    <t>CHNR 4c t3</t>
  </si>
  <si>
    <t>pp.059</t>
  </si>
  <si>
    <t>CHNR 1a t4</t>
  </si>
  <si>
    <t>pp.060</t>
  </si>
  <si>
    <t>CHNR 1b t4</t>
  </si>
  <si>
    <t>pp.061</t>
  </si>
  <si>
    <t>CHNR 1c t4</t>
  </si>
  <si>
    <t>pp.062</t>
  </si>
  <si>
    <t>CHNR 2a t4</t>
  </si>
  <si>
    <t>pp.063</t>
  </si>
  <si>
    <t>CHNR 2b t4</t>
  </si>
  <si>
    <t>pp.064</t>
  </si>
  <si>
    <t>CHNR 2c t4</t>
  </si>
  <si>
    <t>pp.065</t>
  </si>
  <si>
    <t>CHNR 3a t4</t>
  </si>
  <si>
    <t>pp.066</t>
  </si>
  <si>
    <t>CHNR 3b t4</t>
  </si>
  <si>
    <t>pp.067</t>
  </si>
  <si>
    <t>CHNR 3c t4</t>
  </si>
  <si>
    <t>pp.068</t>
  </si>
  <si>
    <t>CHNR 4a t4</t>
  </si>
  <si>
    <t>pp.069</t>
  </si>
  <si>
    <t>CHNR 4b t4</t>
  </si>
  <si>
    <t>pp.070</t>
  </si>
  <si>
    <t>CHNR 4c t4</t>
  </si>
  <si>
    <t>T5</t>
  </si>
  <si>
    <t>CHNR 1a t5</t>
  </si>
  <si>
    <t>CHNR 1b t5</t>
  </si>
  <si>
    <t>CHNR 1c t5</t>
  </si>
  <si>
    <t>CHNR 2a t5</t>
  </si>
  <si>
    <t>CHNR 2b t5</t>
  </si>
  <si>
    <t>CHNR 2c t5</t>
  </si>
  <si>
    <t>CHNR 3a t5</t>
  </si>
  <si>
    <t>CHNR 3b t5</t>
  </si>
  <si>
    <t>CHNR 3c t5</t>
  </si>
  <si>
    <t>CHNR 4a t5</t>
  </si>
  <si>
    <t>CHNR 4b t5</t>
  </si>
  <si>
    <t>CHNR 4c t5</t>
  </si>
  <si>
    <t>Test 1a</t>
  </si>
  <si>
    <t>Test 1a+P</t>
  </si>
  <si>
    <t>Test 2a</t>
  </si>
  <si>
    <t>Test 2a+P</t>
  </si>
  <si>
    <t>Test3a</t>
  </si>
  <si>
    <t>Test 3a+P</t>
  </si>
  <si>
    <t>Test 4a</t>
  </si>
  <si>
    <t>Test 4a+P</t>
  </si>
  <si>
    <t xml:space="preserve"> -P</t>
  </si>
  <si>
    <t xml:space="preserve"> +P</t>
  </si>
  <si>
    <t>t5</t>
  </si>
  <si>
    <t>DC2 Counts (x10^5/ml)</t>
  </si>
  <si>
    <t>PWH3a Counts</t>
  </si>
  <si>
    <t>Increase</t>
  </si>
  <si>
    <t>Increase in DC2 due to Bac alone</t>
  </si>
  <si>
    <t>Increase in DC2 due to Lys alone</t>
  </si>
  <si>
    <t>No increase when DC2 is grown alone</t>
  </si>
  <si>
    <t>Increase in DC2 when Bac remineralises Lys</t>
  </si>
  <si>
    <t>T=0</t>
  </si>
  <si>
    <t>T=end</t>
  </si>
  <si>
    <t>cell/L</t>
  </si>
  <si>
    <t>Decrease</t>
  </si>
  <si>
    <t>Cell quota</t>
  </si>
  <si>
    <t>fmol/cell</t>
  </si>
  <si>
    <t>fmol/L</t>
  </si>
  <si>
    <t>uM N released by PWH3a cell lysis</t>
  </si>
  <si>
    <t>(cell/ml)</t>
  </si>
  <si>
    <t>Emma Shelford - GFF</t>
  </si>
  <si>
    <t>August 10/2012</t>
  </si>
  <si>
    <t>ug N</t>
  </si>
  <si>
    <t>ug C</t>
  </si>
  <si>
    <t>N</t>
  </si>
  <si>
    <t>B1</t>
  </si>
  <si>
    <t>Ave Blank</t>
  </si>
  <si>
    <t>B2</t>
  </si>
  <si>
    <t>D1</t>
  </si>
  <si>
    <t>D2</t>
  </si>
  <si>
    <t>P1</t>
  </si>
  <si>
    <t>P2</t>
  </si>
  <si>
    <t>Corrected for Blank</t>
  </si>
  <si>
    <t>DC2 1</t>
  </si>
  <si>
    <t>DC2 2</t>
  </si>
  <si>
    <t>PWH3a 1</t>
  </si>
  <si>
    <t>PWH3a 2</t>
  </si>
  <si>
    <t>CHNR 5a t1</t>
  </si>
  <si>
    <t>CHNR 6a t1</t>
  </si>
  <si>
    <t>CHNR 6c t1</t>
  </si>
  <si>
    <t>bac.050</t>
  </si>
  <si>
    <t>bac.051</t>
  </si>
  <si>
    <t>bac.052</t>
  </si>
  <si>
    <t>bac.053</t>
  </si>
  <si>
    <t>bac.054</t>
  </si>
  <si>
    <t>CHNR 2c t2</t>
  </si>
  <si>
    <t>bac.055</t>
  </si>
  <si>
    <t>bac.056</t>
  </si>
  <si>
    <t>bac.057</t>
  </si>
  <si>
    <t>bac.058</t>
  </si>
  <si>
    <t>CHNR 3c t2</t>
  </si>
  <si>
    <t>bac.059</t>
  </si>
  <si>
    <t>bac.060</t>
  </si>
  <si>
    <t>CHNR 5a t2</t>
  </si>
  <si>
    <t>CHNR 5b t2</t>
  </si>
  <si>
    <t>CHNR 5c t2</t>
  </si>
  <si>
    <t>CHNR 6a t2</t>
  </si>
  <si>
    <t>CHNR 6b t2</t>
  </si>
  <si>
    <t>CHNR 6c t2</t>
  </si>
  <si>
    <t>bac.081</t>
  </si>
  <si>
    <t>bac.082</t>
  </si>
  <si>
    <t>bac.083</t>
  </si>
  <si>
    <t>bac.084</t>
  </si>
  <si>
    <t>CHNR 5a t4</t>
  </si>
  <si>
    <t>CHNR 5b t4</t>
  </si>
  <si>
    <t>CHNR 5c t4</t>
  </si>
  <si>
    <t>CHNR 6a t4</t>
  </si>
  <si>
    <t>bac.097</t>
  </si>
  <si>
    <t>CHNR 6b t4</t>
  </si>
  <si>
    <t>bac.098</t>
  </si>
  <si>
    <t>CHNR 6c t4</t>
  </si>
  <si>
    <t>pp.008</t>
  </si>
  <si>
    <t>pp.009</t>
  </si>
  <si>
    <t>pp.010</t>
  </si>
  <si>
    <t>pp.011</t>
  </si>
  <si>
    <t>pp.012</t>
  </si>
  <si>
    <t>pp.013</t>
  </si>
  <si>
    <t>CHNR2b t2 pp</t>
  </si>
  <si>
    <t>CHNR 3c t2 pp</t>
  </si>
  <si>
    <t>pp.071</t>
  </si>
  <si>
    <t>pp.072</t>
  </si>
  <si>
    <t>pp.073</t>
  </si>
  <si>
    <t>pp.074</t>
  </si>
  <si>
    <t>pp.075</t>
  </si>
  <si>
    <t>pp.076</t>
  </si>
  <si>
    <t>pp.077</t>
  </si>
  <si>
    <t>pp.078</t>
  </si>
  <si>
    <t>pp.079</t>
  </si>
  <si>
    <t>pp.080</t>
  </si>
  <si>
    <t>CHNR 5c t1</t>
  </si>
  <si>
    <t>Bacteria counts</t>
  </si>
  <si>
    <t>Bacteria counts in unstained samples (pp)</t>
  </si>
  <si>
    <t>Bacteria counts corrected for pp in unstained samples</t>
  </si>
  <si>
    <t>B5:124</t>
  </si>
  <si>
    <t>umol N</t>
  </si>
  <si>
    <t>umol C</t>
  </si>
  <si>
    <t>fmolN/cell</t>
  </si>
  <si>
    <t>fmolC/cell</t>
  </si>
  <si>
    <t>ml DC2 filtered</t>
  </si>
  <si>
    <t>DC2 cells/ml</t>
  </si>
  <si>
    <t>DC2 cells/filter</t>
  </si>
  <si>
    <t>Don't know where the cell counts are for this…</t>
  </si>
  <si>
    <t>However, am more confident on previous PWH3a quotas than for DC2</t>
  </si>
  <si>
    <t>PWH3a-P1 T=0 14Mar13</t>
  </si>
  <si>
    <t>PWH3a-P1 T=end</t>
  </si>
  <si>
    <t>vir.003</t>
  </si>
  <si>
    <t>T=0 A</t>
  </si>
  <si>
    <t>T=0 B</t>
  </si>
  <si>
    <t>F</t>
  </si>
  <si>
    <t>CHNR 5a t3</t>
  </si>
  <si>
    <t>CHNR 5b t3</t>
  </si>
  <si>
    <t>CHNR 5c t3</t>
  </si>
  <si>
    <t>CHNR 6a t3</t>
  </si>
  <si>
    <t>CHNR 6b t3</t>
  </si>
  <si>
    <t>CHNR 6c t3</t>
  </si>
  <si>
    <t>bac.049</t>
  </si>
  <si>
    <t>CHNR 5a t5</t>
  </si>
  <si>
    <t>CHNR 5b t5</t>
  </si>
  <si>
    <t>CHNR 5c t5</t>
  </si>
  <si>
    <t>CHNR 6a t5</t>
  </si>
  <si>
    <t>CHNR 6b t5</t>
  </si>
  <si>
    <t>CHNR 6c t5</t>
  </si>
  <si>
    <t>bac.073</t>
  </si>
  <si>
    <t>bac.074</t>
  </si>
  <si>
    <t>bac.075</t>
  </si>
  <si>
    <t>bac.076</t>
  </si>
  <si>
    <t>bac.077</t>
  </si>
  <si>
    <t>bac.078</t>
  </si>
  <si>
    <t>bac.079</t>
  </si>
  <si>
    <t>bac.080</t>
  </si>
  <si>
    <t>CHNR 4b t0</t>
  </si>
  <si>
    <t>CHNR 5a t0</t>
  </si>
  <si>
    <t>CHNR 5b t0</t>
  </si>
  <si>
    <t>CHNR 5c t0</t>
  </si>
  <si>
    <t>CHNR 6a t0</t>
  </si>
  <si>
    <t>CHNR 6b t0</t>
  </si>
  <si>
    <t>CHNR 6c t0</t>
  </si>
  <si>
    <t>pp.026</t>
  </si>
  <si>
    <t>pp.027</t>
  </si>
  <si>
    <t>pp.028</t>
  </si>
  <si>
    <t>SUMMARY</t>
  </si>
  <si>
    <t>Groups</t>
  </si>
  <si>
    <t>Count</t>
  </si>
  <si>
    <t>Sum</t>
  </si>
  <si>
    <t>Variance</t>
  </si>
  <si>
    <t>ANOVA</t>
  </si>
  <si>
    <t>Source of Variation</t>
  </si>
  <si>
    <t>SS</t>
  </si>
  <si>
    <t>df</t>
  </si>
  <si>
    <t>MS</t>
  </si>
  <si>
    <t>P-value</t>
  </si>
  <si>
    <t>F crit</t>
  </si>
  <si>
    <t>Between Groups</t>
  </si>
  <si>
    <t>Within Groups</t>
  </si>
  <si>
    <t>Total</t>
  </si>
  <si>
    <t>Anova: Single Factor for t=5</t>
  </si>
  <si>
    <t>t=5</t>
  </si>
  <si>
    <t>a</t>
  </si>
  <si>
    <t>b</t>
  </si>
  <si>
    <t>c</t>
  </si>
  <si>
    <t>Anova: Single Factor for t=0</t>
  </si>
  <si>
    <t>t=0</t>
  </si>
  <si>
    <t>So, there is a significant difference between treatments at t=5, but not at t=0.</t>
  </si>
  <si>
    <t>Anova: Single Factor for t=0 (all)</t>
  </si>
  <si>
    <t>So there are significant differences between treatments at T=5. There are differences at T=0 also, but that is treatment dependent (expected).</t>
  </si>
  <si>
    <t>T=5</t>
  </si>
  <si>
    <t>Not sure if ANOVAs are the answer for these… maybe just t tests between experimental and each control of interest? I don't really care about the differences between treatments.</t>
  </si>
  <si>
    <t>NH4</t>
  </si>
  <si>
    <t>DC2 uM</t>
  </si>
  <si>
    <t>Bac uM</t>
  </si>
  <si>
    <t>fmol N / DC2</t>
  </si>
  <si>
    <t>uM input by PWH3a</t>
  </si>
  <si>
    <t>Total increase</t>
  </si>
  <si>
    <t>uM</t>
  </si>
  <si>
    <t>fmol N / Bac</t>
  </si>
  <si>
    <t>(1998 Fukuda)</t>
  </si>
  <si>
    <t>Same thing, but now with error bars</t>
  </si>
  <si>
    <t>uM N incorporated by DC2 from Bac remin</t>
  </si>
  <si>
    <t>CHNR 6abc t5 was done improperly. What I suspect happened was that I put in 2x 50ul into the 100x tube by accident.</t>
  </si>
  <si>
    <t>So I've adjusted those values accordingly.</t>
  </si>
  <si>
    <t>I tested the 6 t5 samples two days later, and they confirmed this theory.</t>
  </si>
  <si>
    <t>uM N of PWH3a cell lysate, when 10ml added to 200ml culture</t>
  </si>
  <si>
    <t>So, PWH3a quota is 0.54fmol (old data), and DC2 quota is 7.83 +/- 0.02 fmol (new data)</t>
  </si>
  <si>
    <t>Increase due to Bac remineralisation (DC2+Bac+Lys minus DC2+Bac minus DC2+Lys)</t>
  </si>
  <si>
    <t>PWH3a Counts with Error</t>
  </si>
  <si>
    <t>Same DC2 calculations, but with error</t>
  </si>
  <si>
    <t>percent of N transferred via Bac</t>
  </si>
  <si>
    <t>All Others</t>
  </si>
  <si>
    <t>DC2+Bac and DC2+Lys</t>
  </si>
  <si>
    <t>percent of N from PWH3a used by DC2 alone</t>
  </si>
  <si>
    <t>So DC2 is able to use more N than PWH3a provided… check out numbers on NMasBalance, though (are using just these DC2 numbers valid?)</t>
  </si>
  <si>
    <t>Total initial N in each treatment</t>
  </si>
  <si>
    <t>NO3</t>
  </si>
  <si>
    <t>PWH3a</t>
  </si>
  <si>
    <t>?</t>
  </si>
  <si>
    <t xml:space="preserve"> + NO3</t>
  </si>
  <si>
    <t>Total (uM N)</t>
  </si>
  <si>
    <t>So there is definitely overlap, and therefore no significant difference</t>
  </si>
  <si>
    <t>Ammonium</t>
  </si>
  <si>
    <t>DC2-NH4</t>
  </si>
  <si>
    <t>Bac-NH4</t>
  </si>
  <si>
    <t>x10^8 cell/L</t>
  </si>
  <si>
    <t>uM N in DC2 from Lys</t>
  </si>
  <si>
    <t>uM N in DC2</t>
  </si>
  <si>
    <t>stdev</t>
  </si>
  <si>
    <t>Lys available</t>
  </si>
  <si>
    <t>DC2(+Bac)+Lys</t>
  </si>
  <si>
    <t>DC2 from Lys</t>
  </si>
  <si>
    <t>DC2 from UF</t>
  </si>
  <si>
    <t>DC2 N content (in mol)</t>
  </si>
  <si>
    <t>Bac N content (in mol)</t>
  </si>
  <si>
    <t>NH4 content (in mol)</t>
  </si>
  <si>
    <t>DC2-N</t>
  </si>
  <si>
    <t>Bac-N</t>
  </si>
  <si>
    <t>Time(d)</t>
  </si>
  <si>
    <t>DC2+Bac+Lys DC2-N</t>
  </si>
  <si>
    <t>DC2+Bac DC2-N</t>
  </si>
  <si>
    <t>DC2+Lys DC2-N</t>
  </si>
  <si>
    <t>Bac+Lys NH4</t>
  </si>
  <si>
    <t>NH4 at PWH3a T=0</t>
  </si>
  <si>
    <t>Initial NH4 concentration</t>
  </si>
  <si>
    <t>uM taken up by PWH3a</t>
  </si>
  <si>
    <t>mol / l</t>
  </si>
  <si>
    <t>mol / cell</t>
  </si>
  <si>
    <t>fmol / cell</t>
  </si>
  <si>
    <t>Calculating N quota using NH4 decrease and cell increase</t>
  </si>
  <si>
    <t>Exactly the same as CHN analysis</t>
  </si>
  <si>
    <t>uM N in Bac</t>
  </si>
  <si>
    <t>Bac conc. In UF:</t>
  </si>
  <si>
    <t>x10^5 cells/ml</t>
  </si>
  <si>
    <t>uM N incorporated by DC2 directly from Lys</t>
  </si>
  <si>
    <t>percent of N directly from Lys</t>
  </si>
  <si>
    <t>percent from Lys total</t>
  </si>
  <si>
    <t>ml PWH3a filtered</t>
  </si>
  <si>
    <t>cells/ml</t>
  </si>
  <si>
    <t>at T=0</t>
  </si>
  <si>
    <t>approx PWH3a cells/filter</t>
  </si>
  <si>
    <t>Range</t>
  </si>
  <si>
    <t>uM N incorporated by DC2 from all sources (Lys, Bac remin, UF)</t>
  </si>
  <si>
    <t>DC2+Bac,DC2+Lys,Bac+Lys</t>
  </si>
  <si>
    <t>N increase</t>
  </si>
  <si>
    <t>DC2-N (DC2+Lys)</t>
  </si>
  <si>
    <r>
      <t>DC2-N (NO</t>
    </r>
    <r>
      <rPr>
        <vertAlign val="subscript"/>
        <sz val="11"/>
        <color theme="1"/>
        <rFont val="Calibri"/>
        <family val="2"/>
        <scheme val="minor"/>
      </rPr>
      <t>3</t>
    </r>
    <r>
      <rPr>
        <sz val="11"/>
        <color theme="1"/>
        <rFont val="Calibri"/>
        <family val="2"/>
        <scheme val="minor"/>
      </rPr>
      <t xml:space="preserve"> in DC2+Bac)</t>
    </r>
  </si>
  <si>
    <t>DC2-N (DC2+Bac+Lys)</t>
  </si>
  <si>
    <t>T=0 sd</t>
  </si>
  <si>
    <t>T=end sd</t>
  </si>
  <si>
    <t>Ammonium (Bac+Lys)</t>
  </si>
  <si>
    <t>10^6/ml</t>
  </si>
  <si>
    <t>10^5/ml</t>
  </si>
  <si>
    <t>percent from remineralisation</t>
  </si>
  <si>
    <t>uM N from remineralisation</t>
  </si>
  <si>
    <t>percent of lysate used</t>
  </si>
  <si>
    <t>Tend</t>
  </si>
  <si>
    <t>Syn+Bac+lysate</t>
  </si>
  <si>
    <t>Syn+lysate</t>
  </si>
  <si>
    <t>Syn</t>
  </si>
  <si>
    <t>Bac+lysate</t>
  </si>
  <si>
    <t>Syn+Bac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</si>
</sst>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E+00"/>
  </numFmts>
  <fonts count="12">
    <font>
      <sz val="11"/>
      <color theme="1"/>
      <name val="Calibri"/>
      <family val="2"/>
      <scheme val="minor"/>
    </font>
    <font>
      <sz val="10"/>
      <name val="Arial"/>
      <family val="2"/>
    </font>
    <font>
      <b/>
      <sz val="10"/>
      <color indexed="0"/>
      <name val="Helvetica Neue"/>
    </font>
    <font>
      <b/>
      <vertAlign val="superscript"/>
      <sz val="10"/>
      <color indexed="0"/>
      <name val="Helvetica Neue"/>
    </font>
    <font>
      <sz val="10"/>
      <color indexed="0"/>
      <name val="Helvetica Neue"/>
    </font>
    <font>
      <sz val="10"/>
      <name val="Arial"/>
      <family val="2"/>
    </font>
    <font>
      <b/>
      <sz val="11"/>
      <color theme="1"/>
      <name val="Calibri"/>
      <family val="2"/>
      <scheme val="minor"/>
    </font>
    <font>
      <sz val="11"/>
      <color theme="1"/>
      <name val="Calibri"/>
      <family val="2"/>
      <scheme val="minor"/>
    </font>
    <font>
      <sz val="10"/>
      <color theme="1"/>
      <name val="Arial"/>
      <family val="2"/>
    </font>
    <font>
      <sz val="9"/>
      <name val="Geneva"/>
    </font>
    <font>
      <i/>
      <sz val="11"/>
      <color theme="1"/>
      <name val="Calibri"/>
      <family val="2"/>
      <scheme val="minor"/>
    </font>
    <font>
      <vertAlign val="subscrip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9"/>
        <bgColor indexed="64"/>
      </patternFill>
    </fill>
    <fill>
      <patternFill patternType="solid">
        <fgColor rgb="FFFFFF00"/>
        <bgColor indexed="64"/>
      </patternFill>
    </fill>
    <fill>
      <patternFill patternType="solid">
        <fgColor theme="6"/>
        <bgColor indexed="64"/>
      </patternFill>
    </fill>
  </fills>
  <borders count="5">
    <border>
      <left/>
      <right/>
      <top/>
      <bottom/>
      <diagonal/>
    </border>
    <border>
      <left style="thin">
        <color indexed="10"/>
      </left>
      <right style="thin">
        <color indexed="10"/>
      </right>
      <top style="thin">
        <color indexed="10"/>
      </top>
      <bottom style="thin">
        <color indexed="10"/>
      </bottom>
      <diagonal/>
    </border>
    <border>
      <left/>
      <right/>
      <top/>
      <bottom style="thin">
        <color indexed="64"/>
      </bottom>
      <diagonal/>
    </border>
    <border>
      <left/>
      <right/>
      <top/>
      <bottom style="medium">
        <color indexed="64"/>
      </bottom>
      <diagonal/>
    </border>
    <border>
      <left/>
      <right/>
      <top style="medium">
        <color indexed="64"/>
      </top>
      <bottom style="thin">
        <color indexed="64"/>
      </bottom>
      <diagonal/>
    </border>
  </borders>
  <cellStyleXfs count="5">
    <xf numFmtId="0" fontId="0" fillId="0" borderId="0"/>
    <xf numFmtId="0" fontId="1" fillId="0" borderId="0"/>
    <xf numFmtId="0" fontId="8" fillId="0" borderId="0"/>
    <xf numFmtId="0" fontId="7" fillId="0" borderId="0"/>
    <xf numFmtId="0" fontId="9" fillId="0" borderId="0"/>
  </cellStyleXfs>
  <cellXfs count="36">
    <xf numFmtId="0" fontId="0" fillId="0" borderId="0" xfId="0"/>
    <xf numFmtId="15" fontId="0" fillId="0" borderId="0" xfId="0" applyNumberFormat="1"/>
    <xf numFmtId="0" fontId="1" fillId="0" borderId="0" xfId="1"/>
    <xf numFmtId="0" fontId="2" fillId="2" borderId="1" xfId="0" applyNumberFormat="1" applyFont="1" applyFill="1" applyBorder="1" applyAlignment="1">
      <alignment horizontal="center" vertical="top" wrapText="1"/>
    </xf>
    <xf numFmtId="0" fontId="4" fillId="0" borderId="1" xfId="0" applyNumberFormat="1" applyFont="1" applyFill="1" applyBorder="1" applyAlignment="1">
      <alignment vertical="top"/>
    </xf>
    <xf numFmtId="2" fontId="4" fillId="0" borderId="1" xfId="0" applyNumberFormat="1" applyFont="1" applyFill="1" applyBorder="1" applyAlignment="1">
      <alignment vertical="top"/>
    </xf>
    <xf numFmtId="2" fontId="0" fillId="0" borderId="0" xfId="0" applyNumberFormat="1"/>
    <xf numFmtId="11" fontId="0" fillId="0" borderId="0" xfId="0" applyNumberFormat="1"/>
    <xf numFmtId="0" fontId="5" fillId="0" borderId="0" xfId="0" applyFont="1"/>
    <xf numFmtId="0" fontId="5" fillId="0" borderId="2" xfId="0" applyFont="1" applyBorder="1"/>
    <xf numFmtId="2" fontId="0" fillId="0" borderId="0" xfId="0" applyNumberFormat="1" applyAlignment="1">
      <alignment horizontal="center"/>
    </xf>
    <xf numFmtId="0" fontId="0" fillId="0" borderId="0" xfId="0" applyFill="1"/>
    <xf numFmtId="2" fontId="6" fillId="0" borderId="0" xfId="0" applyNumberFormat="1" applyFont="1" applyFill="1"/>
    <xf numFmtId="0" fontId="9" fillId="0" borderId="0" xfId="4"/>
    <xf numFmtId="0" fontId="9" fillId="0" borderId="0" xfId="4"/>
    <xf numFmtId="0" fontId="0" fillId="0" borderId="0" xfId="0" applyFill="1" applyBorder="1" applyAlignment="1"/>
    <xf numFmtId="0" fontId="0" fillId="0" borderId="3" xfId="0" applyFill="1" applyBorder="1" applyAlignment="1"/>
    <xf numFmtId="0" fontId="10" fillId="0" borderId="4" xfId="0" applyFont="1" applyFill="1" applyBorder="1" applyAlignment="1">
      <alignment horizontal="center"/>
    </xf>
    <xf numFmtId="0" fontId="0" fillId="0" borderId="0" xfId="0" applyBorder="1"/>
    <xf numFmtId="0" fontId="10" fillId="0" borderId="0" xfId="0" applyFont="1" applyFill="1" applyBorder="1" applyAlignment="1">
      <alignment horizontal="center"/>
    </xf>
    <xf numFmtId="1" fontId="0" fillId="0" borderId="0" xfId="0" applyNumberFormat="1"/>
    <xf numFmtId="0" fontId="6" fillId="0" borderId="0" xfId="0" applyFont="1"/>
    <xf numFmtId="2" fontId="6" fillId="0" borderId="0" xfId="0" applyNumberFormat="1" applyFont="1"/>
    <xf numFmtId="0" fontId="9" fillId="0" borderId="0" xfId="4" applyFill="1"/>
    <xf numFmtId="2" fontId="0" fillId="0" borderId="0" xfId="0" applyNumberFormat="1" applyFill="1"/>
    <xf numFmtId="0" fontId="0" fillId="3" borderId="0" xfId="0" applyFill="1"/>
    <xf numFmtId="0" fontId="0" fillId="3" borderId="0" xfId="0" applyFont="1" applyFill="1"/>
    <xf numFmtId="2" fontId="6" fillId="3" borderId="0" xfId="0" applyNumberFormat="1" applyFont="1" applyFill="1"/>
    <xf numFmtId="0" fontId="0" fillId="0" borderId="0" xfId="0" applyAlignment="1">
      <alignment horizontal="right"/>
    </xf>
    <xf numFmtId="164" fontId="0" fillId="0" borderId="0" xfId="0" applyNumberFormat="1"/>
    <xf numFmtId="0" fontId="0" fillId="0" borderId="0" xfId="0" applyNumberFormat="1"/>
    <xf numFmtId="0" fontId="0" fillId="4" borderId="0" xfId="0" applyFill="1"/>
    <xf numFmtId="11" fontId="0" fillId="0" borderId="0" xfId="0" applyNumberFormat="1" applyFill="1"/>
    <xf numFmtId="0" fontId="0" fillId="5" borderId="0" xfId="0" applyFill="1"/>
    <xf numFmtId="0" fontId="0" fillId="0" borderId="0" xfId="0" applyFill="1" applyBorder="1"/>
    <xf numFmtId="0" fontId="6" fillId="0" borderId="0" xfId="0" applyFont="1" applyFill="1"/>
  </cellXfs>
  <cellStyles count="5">
    <cellStyle name="Normal" xfId="0" builtinId="0"/>
    <cellStyle name="Normal 2" xfId="1" xr:uid="{00000000-0005-0000-0000-000001000000}"/>
    <cellStyle name="Normal 2 2" xfId="3" xr:uid="{00000000-0005-0000-0000-000002000000}"/>
    <cellStyle name="Normal 3" xfId="2" xr:uid="{00000000-0005-0000-0000-000003000000}"/>
    <cellStyle name="Normal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08333333333334"/>
          <c:y val="5.3912219305920092E-2"/>
          <c:w val="0.51979111986001747"/>
          <c:h val="0.71590259550889468"/>
        </c:manualLayout>
      </c:layout>
      <c:scatterChart>
        <c:scatterStyle val="lineMarker"/>
        <c:varyColors val="0"/>
        <c:ser>
          <c:idx val="0"/>
          <c:order val="0"/>
          <c:tx>
            <c:strRef>
              <c:f>'DC2'!$M$19</c:f>
              <c:strCache>
                <c:ptCount val="1"/>
                <c:pt idx="0">
                  <c:v>Syn+Bac+lysate</c:v>
                </c:pt>
              </c:strCache>
            </c:strRef>
          </c:tx>
          <c:spPr>
            <a:ln w="28575">
              <a:solidFill>
                <a:schemeClr val="tx1"/>
              </a:solidFill>
            </a:ln>
          </c:spPr>
          <c:marker>
            <c:symbol val="none"/>
          </c:marker>
          <c:errBars>
            <c:errDir val="y"/>
            <c:errBarType val="both"/>
            <c:errValType val="cust"/>
            <c:noEndCap val="0"/>
            <c:plus>
              <c:numRef>
                <c:f>'DC2'!$N$25:$S$25</c:f>
                <c:numCache>
                  <c:formatCode>General</c:formatCode>
                  <c:ptCount val="6"/>
                  <c:pt idx="0">
                    <c:v>0.13217477509859007</c:v>
                  </c:pt>
                  <c:pt idx="1">
                    <c:v>0.33197127425230527</c:v>
                  </c:pt>
                  <c:pt idx="2">
                    <c:v>1.5108368309945133</c:v>
                  </c:pt>
                  <c:pt idx="3">
                    <c:v>3.5092776887357995</c:v>
                  </c:pt>
                  <c:pt idx="4">
                    <c:v>5.4580655370202447</c:v>
                  </c:pt>
                  <c:pt idx="5">
                    <c:v>2.5912373026892328</c:v>
                  </c:pt>
                </c:numCache>
              </c:numRef>
            </c:plus>
            <c:minus>
              <c:numRef>
                <c:f>'DC2'!$N$25:$S$25</c:f>
                <c:numCache>
                  <c:formatCode>General</c:formatCode>
                  <c:ptCount val="6"/>
                  <c:pt idx="0">
                    <c:v>0.13217477509859007</c:v>
                  </c:pt>
                  <c:pt idx="1">
                    <c:v>0.33197127425230527</c:v>
                  </c:pt>
                  <c:pt idx="2">
                    <c:v>1.5108368309945133</c:v>
                  </c:pt>
                  <c:pt idx="3">
                    <c:v>3.5092776887357995</c:v>
                  </c:pt>
                  <c:pt idx="4">
                    <c:v>5.4580655370202447</c:v>
                  </c:pt>
                  <c:pt idx="5">
                    <c:v>2.5912373026892328</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'DC2'!$N$19:$S$19</c:f>
              <c:numCache>
                <c:formatCode>0.00</c:formatCode>
                <c:ptCount val="6"/>
                <c:pt idx="0">
                  <c:v>7.6289134438305695</c:v>
                </c:pt>
                <c:pt idx="1">
                  <c:v>8.6321362799263337</c:v>
                </c:pt>
                <c:pt idx="2">
                  <c:v>15.806169429097602</c:v>
                </c:pt>
                <c:pt idx="3">
                  <c:v>27.837937384898709</c:v>
                </c:pt>
                <c:pt idx="4">
                  <c:v>47.056629834254146</c:v>
                </c:pt>
                <c:pt idx="5">
                  <c:v>53.233519034354686</c:v>
                </c:pt>
              </c:numCache>
            </c:numRef>
          </c:yVal>
          <c:smooth val="0"/>
          <c:extLst>
            <c:ext xmlns:c16="http://schemas.microsoft.com/office/drawing/2014/chart" uri="{C3380CC4-5D6E-409C-BE32-E72D297353CC}">
              <c16:uniqueId val="{00000000-F16B-48DD-9F12-774EED064B80}"/>
            </c:ext>
          </c:extLst>
        </c:ser>
        <c:ser>
          <c:idx val="1"/>
          <c:order val="1"/>
          <c:tx>
            <c:strRef>
              <c:f>'DC2'!$M$20</c:f>
              <c:strCache>
                <c:ptCount val="1"/>
                <c:pt idx="0">
                  <c:v>Syn+Bac</c:v>
                </c:pt>
              </c:strCache>
            </c:strRef>
          </c:tx>
          <c:spPr>
            <a:ln w="28575" cmpd="dbl">
              <a:solidFill>
                <a:schemeClr val="tx1">
                  <a:lumMod val="65000"/>
                  <a:lumOff val="35000"/>
                </a:schemeClr>
              </a:solidFill>
            </a:ln>
          </c:spPr>
          <c:marker>
            <c:symbol val="none"/>
          </c:marker>
          <c:errBars>
            <c:errDir val="y"/>
            <c:errBarType val="both"/>
            <c:errValType val="cust"/>
            <c:noEndCap val="0"/>
            <c:plus>
              <c:numRef>
                <c:f>'DC2'!$N$26:$S$26</c:f>
                <c:numCache>
                  <c:formatCode>General</c:formatCode>
                  <c:ptCount val="6"/>
                  <c:pt idx="0">
                    <c:v>0.150525732440772</c:v>
                  </c:pt>
                  <c:pt idx="1">
                    <c:v>0.41216137174758266</c:v>
                  </c:pt>
                  <c:pt idx="2">
                    <c:v>0.44377265828047024</c:v>
                  </c:pt>
                  <c:pt idx="3">
                    <c:v>2.6844545184660737</c:v>
                  </c:pt>
                  <c:pt idx="4">
                    <c:v>1.3541983203741452</c:v>
                  </c:pt>
                  <c:pt idx="5">
                    <c:v>2.1171935735032057</c:v>
                  </c:pt>
                </c:numCache>
              </c:numRef>
            </c:plus>
            <c:minus>
              <c:numRef>
                <c:f>'DC2'!$N$26:$S$26</c:f>
                <c:numCache>
                  <c:formatCode>General</c:formatCode>
                  <c:ptCount val="6"/>
                  <c:pt idx="0">
                    <c:v>0.150525732440772</c:v>
                  </c:pt>
                  <c:pt idx="1">
                    <c:v>0.41216137174758266</c:v>
                  </c:pt>
                  <c:pt idx="2">
                    <c:v>0.44377265828047024</c:v>
                  </c:pt>
                  <c:pt idx="3">
                    <c:v>2.6844545184660737</c:v>
                  </c:pt>
                  <c:pt idx="4">
                    <c:v>1.3541983203741452</c:v>
                  </c:pt>
                  <c:pt idx="5">
                    <c:v>2.1171935735032057</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'DC2'!$N$20:$S$20</c:f>
              <c:numCache>
                <c:formatCode>0.00</c:formatCode>
                <c:ptCount val="6"/>
                <c:pt idx="0">
                  <c:v>7.9231123388581937</c:v>
                </c:pt>
                <c:pt idx="1">
                  <c:v>8.2877532228360948</c:v>
                </c:pt>
                <c:pt idx="2">
                  <c:v>11.926104972375688</c:v>
                </c:pt>
                <c:pt idx="3">
                  <c:v>21.402854511970531</c:v>
                </c:pt>
                <c:pt idx="4">
                  <c:v>31.539134438305709</c:v>
                </c:pt>
                <c:pt idx="5">
                  <c:v>29.306870937790155</c:v>
                </c:pt>
              </c:numCache>
            </c:numRef>
          </c:yVal>
          <c:smooth val="0"/>
          <c:extLst>
            <c:ext xmlns:c16="http://schemas.microsoft.com/office/drawing/2014/chart" uri="{C3380CC4-5D6E-409C-BE32-E72D297353CC}">
              <c16:uniqueId val="{00000001-F16B-48DD-9F12-774EED064B80}"/>
            </c:ext>
          </c:extLst>
        </c:ser>
        <c:ser>
          <c:idx val="2"/>
          <c:order val="2"/>
          <c:tx>
            <c:strRef>
              <c:f>'DC2'!$M$21</c:f>
              <c:strCache>
                <c:ptCount val="1"/>
                <c:pt idx="0">
                  <c:v>Syn+lysate</c:v>
                </c:pt>
              </c:strCache>
            </c:strRef>
          </c:tx>
          <c:spPr>
            <a:ln w="28575">
              <a:solidFill>
                <a:schemeClr val="tx1"/>
              </a:solidFill>
              <a:prstDash val="sysDash"/>
            </a:ln>
          </c:spPr>
          <c:marker>
            <c:symbol val="none"/>
          </c:marker>
          <c:errBars>
            <c:errDir val="y"/>
            <c:errBarType val="both"/>
            <c:errValType val="cust"/>
            <c:noEndCap val="0"/>
            <c:plus>
              <c:numRef>
                <c:f>'DC2'!$N$27:$S$27</c:f>
                <c:numCache>
                  <c:formatCode>General</c:formatCode>
                  <c:ptCount val="6"/>
                  <c:pt idx="0">
                    <c:v>5.0285433492402012E-2</c:v>
                  </c:pt>
                  <c:pt idx="1">
                    <c:v>9.3393046985508502E-2</c:v>
                  </c:pt>
                  <c:pt idx="2">
                    <c:v>1.4096971355796375E-2</c:v>
                  </c:pt>
                  <c:pt idx="3">
                    <c:v>0.83406254024844761</c:v>
                  </c:pt>
                  <c:pt idx="4">
                    <c:v>1.1848979988617117</c:v>
                  </c:pt>
                  <c:pt idx="5">
                    <c:v>0.89762015633010706</c:v>
                  </c:pt>
                </c:numCache>
              </c:numRef>
            </c:plus>
            <c:minus>
              <c:numRef>
                <c:f>'DC2'!$N$27:$S$27</c:f>
                <c:numCache>
                  <c:formatCode>General</c:formatCode>
                  <c:ptCount val="6"/>
                  <c:pt idx="0">
                    <c:v>5.0285433492402012E-2</c:v>
                  </c:pt>
                  <c:pt idx="1">
                    <c:v>9.3393046985508502E-2</c:v>
                  </c:pt>
                  <c:pt idx="2">
                    <c:v>1.4096971355796375E-2</c:v>
                  </c:pt>
                  <c:pt idx="3">
                    <c:v>0.83406254024844761</c:v>
                  </c:pt>
                  <c:pt idx="4">
                    <c:v>1.1848979988617117</c:v>
                  </c:pt>
                  <c:pt idx="5">
                    <c:v>0.89762015633010706</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'DC2'!$N$21:$S$21</c:f>
              <c:numCache>
                <c:formatCode>0.00</c:formatCode>
                <c:ptCount val="6"/>
                <c:pt idx="0">
                  <c:v>7.6606813996316747</c:v>
                </c:pt>
                <c:pt idx="1">
                  <c:v>6.984806629834253</c:v>
                </c:pt>
                <c:pt idx="2">
                  <c:v>7.7783149171270711</c:v>
                </c:pt>
                <c:pt idx="3">
                  <c:v>10.215930018416204</c:v>
                </c:pt>
                <c:pt idx="4">
                  <c:v>16.069060773480661</c:v>
                </c:pt>
                <c:pt idx="5">
                  <c:v>20.140668523676879</c:v>
                </c:pt>
              </c:numCache>
            </c:numRef>
          </c:yVal>
          <c:smooth val="0"/>
          <c:extLst>
            <c:ext xmlns:c16="http://schemas.microsoft.com/office/drawing/2014/chart" uri="{C3380CC4-5D6E-409C-BE32-E72D297353CC}">
              <c16:uniqueId val="{00000002-F16B-48DD-9F12-774EED064B80}"/>
            </c:ext>
          </c:extLst>
        </c:ser>
        <c:ser>
          <c:idx val="3"/>
          <c:order val="3"/>
          <c:tx>
            <c:strRef>
              <c:f>'DC2'!$M$22</c:f>
              <c:strCache>
                <c:ptCount val="1"/>
                <c:pt idx="0">
                  <c:v>Syn</c:v>
                </c:pt>
              </c:strCache>
            </c:strRef>
          </c:tx>
          <c:spPr>
            <a:ln w="28575" cmpd="dbl">
              <a:solidFill>
                <a:schemeClr val="tx1">
                  <a:lumMod val="65000"/>
                  <a:lumOff val="35000"/>
                </a:schemeClr>
              </a:solidFill>
              <a:prstDash val="sysDash"/>
            </a:ln>
          </c:spPr>
          <c:marker>
            <c:symbol val="none"/>
          </c:marker>
          <c:errBars>
            <c:errDir val="y"/>
            <c:errBarType val="both"/>
            <c:errValType val="cust"/>
            <c:noEndCap val="0"/>
            <c:plus>
              <c:numRef>
                <c:f>'DC2'!$N$28:$S$28</c:f>
                <c:numCache>
                  <c:formatCode>General</c:formatCode>
                  <c:ptCount val="6"/>
                  <c:pt idx="0">
                    <c:v>0.11265447165931639</c:v>
                  </c:pt>
                  <c:pt idx="1">
                    <c:v>0.17770207673346866</c:v>
                  </c:pt>
                  <c:pt idx="2">
                    <c:v>0.31307956881775589</c:v>
                  </c:pt>
                  <c:pt idx="3">
                    <c:v>0.51802659634860582</c:v>
                  </c:pt>
                  <c:pt idx="4">
                    <c:v>0.28419307784798692</c:v>
                  </c:pt>
                  <c:pt idx="5">
                    <c:v>0.43180678794541077</c:v>
                  </c:pt>
                </c:numCache>
              </c:numRef>
            </c:plus>
            <c:minus>
              <c:numRef>
                <c:f>'DC2'!$N$28:$S$28</c:f>
                <c:numCache>
                  <c:formatCode>General</c:formatCode>
                  <c:ptCount val="6"/>
                  <c:pt idx="0">
                    <c:v>0.11265447165931639</c:v>
                  </c:pt>
                  <c:pt idx="1">
                    <c:v>0.17770207673346866</c:v>
                  </c:pt>
                  <c:pt idx="2">
                    <c:v>0.31307956881775589</c:v>
                  </c:pt>
                  <c:pt idx="3">
                    <c:v>0.51802659634860582</c:v>
                  </c:pt>
                  <c:pt idx="4">
                    <c:v>0.28419307784798692</c:v>
                  </c:pt>
                  <c:pt idx="5">
                    <c:v>0.43180678794541077</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'DC2'!$N$22:$S$22</c:f>
              <c:numCache>
                <c:formatCode>0.00</c:formatCode>
                <c:ptCount val="6"/>
                <c:pt idx="0">
                  <c:v>7.6491712707182318</c:v>
                </c:pt>
                <c:pt idx="1">
                  <c:v>7.2974217311233884</c:v>
                </c:pt>
                <c:pt idx="2">
                  <c:v>6.5695211786372001</c:v>
                </c:pt>
                <c:pt idx="3">
                  <c:v>6.3402394106813986</c:v>
                </c:pt>
                <c:pt idx="4">
                  <c:v>6.1772559852670348</c:v>
                </c:pt>
                <c:pt idx="5">
                  <c:v>6.929433611884865</c:v>
                </c:pt>
              </c:numCache>
            </c:numRef>
          </c:yVal>
          <c:smooth val="0"/>
          <c:extLst>
            <c:ext xmlns:c16="http://schemas.microsoft.com/office/drawing/2014/chart" uri="{C3380CC4-5D6E-409C-BE32-E72D297353CC}">
              <c16:uniqueId val="{00000003-F16B-48DD-9F12-774EED064B80}"/>
            </c:ext>
          </c:extLst>
        </c:ser>
        <c:dLbls>
          <c:showLegendKey val="0"/>
          <c:showVal val="0"/>
          <c:showCatName val="0"/>
          <c:showSerName val="0"/>
          <c:showPercent val="0"/>
          <c:showBubbleSize val="0"/>
        </c:dLbls>
        <c:axId val="85432576"/>
        <c:axId val="85438848"/>
      </c:scatterChart>
      <c:valAx>
        <c:axId val="85432576"/>
        <c:scaling>
          <c:orientation val="minMax"/>
          <c:max val="5"/>
        </c:scaling>
        <c:delete val="0"/>
        <c:axPos val="b"/>
        <c:title>
          <c:tx>
            <c:rich>
              <a:bodyPr/>
              <a:lstStyle/>
              <a:p>
                <a:pPr>
                  <a:defRPr sz="1200">
                    <a:latin typeface="Times New Roman" pitchFamily="18" charset="0"/>
                    <a:cs typeface="Times New Roman" pitchFamily="18" charset="0"/>
                  </a:defRPr>
                </a:pPr>
                <a:r>
                  <a:rPr lang="en-CA" sz="1200">
                    <a:latin typeface="Times New Roman" pitchFamily="18" charset="0"/>
                    <a:cs typeface="Times New Roman" pitchFamily="18" charset="0"/>
                  </a:rPr>
                  <a:t>Time (d)</a:t>
                </a:r>
              </a:p>
            </c:rich>
          </c:tx>
          <c:overlay val="0"/>
        </c:title>
        <c:numFmt formatCode="General" sourceLinked="1"/>
        <c:majorTickMark val="out"/>
        <c:minorTickMark val="none"/>
        <c:tickLblPos val="nextTo"/>
        <c:txPr>
          <a:bodyPr/>
          <a:lstStyle/>
          <a:p>
            <a:pPr>
              <a:defRPr sz="1200">
                <a:latin typeface="Times New Roman" pitchFamily="18" charset="0"/>
                <a:cs typeface="Times New Roman" pitchFamily="18" charset="0"/>
              </a:defRPr>
            </a:pPr>
            <a:endParaRPr lang="en-US"/>
          </a:p>
        </c:txPr>
        <c:crossAx val="85438848"/>
        <c:crosses val="autoZero"/>
        <c:crossBetween val="midCat"/>
        <c:majorUnit val="1"/>
      </c:valAx>
      <c:valAx>
        <c:axId val="85438848"/>
        <c:scaling>
          <c:orientation val="minMax"/>
        </c:scaling>
        <c:delete val="0"/>
        <c:axPos val="l"/>
        <c:title>
          <c:tx>
            <c:rich>
              <a:bodyPr rot="-5400000" vert="horz"/>
              <a:lstStyle/>
              <a:p>
                <a:pPr>
                  <a:defRPr sz="1200">
                    <a:latin typeface="Times New Roman" pitchFamily="18" charset="0"/>
                    <a:cs typeface="Times New Roman" pitchFamily="18" charset="0"/>
                  </a:defRPr>
                </a:pPr>
                <a:r>
                  <a:rPr lang="en-CA" sz="1200">
                    <a:latin typeface="Times New Roman" pitchFamily="18" charset="0"/>
                    <a:cs typeface="Times New Roman" pitchFamily="18" charset="0"/>
                  </a:rPr>
                  <a:t>Syn (x10</a:t>
                </a:r>
                <a:r>
                  <a:rPr lang="en-CA" sz="1200" baseline="30000">
                    <a:latin typeface="Times New Roman" pitchFamily="18" charset="0"/>
                    <a:cs typeface="Times New Roman" pitchFamily="18" charset="0"/>
                  </a:rPr>
                  <a:t>5</a:t>
                </a:r>
                <a:r>
                  <a:rPr lang="en-CA" sz="1200">
                    <a:latin typeface="Times New Roman" pitchFamily="18" charset="0"/>
                    <a:cs typeface="Times New Roman" pitchFamily="18" charset="0"/>
                  </a:rPr>
                  <a:t> ml</a:t>
                </a:r>
                <a:r>
                  <a:rPr lang="en-CA" sz="1200" baseline="30000">
                    <a:latin typeface="Times New Roman" pitchFamily="18" charset="0"/>
                    <a:cs typeface="Times New Roman" pitchFamily="18" charset="0"/>
                  </a:rPr>
                  <a:t>-1</a:t>
                </a:r>
                <a:r>
                  <a:rPr lang="en-CA" sz="1200">
                    <a:latin typeface="Times New Roman" pitchFamily="18" charset="0"/>
                    <a:cs typeface="Times New Roman" pitchFamily="18" charset="0"/>
                  </a:rPr>
                  <a:t>)</a:t>
                </a:r>
              </a:p>
            </c:rich>
          </c:tx>
          <c:overlay val="0"/>
        </c:title>
        <c:numFmt formatCode="0" sourceLinked="0"/>
        <c:majorTickMark val="out"/>
        <c:minorTickMark val="none"/>
        <c:tickLblPos val="nextTo"/>
        <c:txPr>
          <a:bodyPr/>
          <a:lstStyle/>
          <a:p>
            <a:pPr>
              <a:defRPr sz="1200">
                <a:latin typeface="Times New Roman" pitchFamily="18" charset="0"/>
                <a:cs typeface="Times New Roman" pitchFamily="18" charset="0"/>
              </a:defRPr>
            </a:pPr>
            <a:endParaRPr lang="en-US"/>
          </a:p>
        </c:txPr>
        <c:crossAx val="85432576"/>
        <c:crosses val="autoZero"/>
        <c:crossBetween val="midCat"/>
      </c:valAx>
    </c:plotArea>
    <c:legend>
      <c:legendPos val="r"/>
      <c:overlay val="1"/>
      <c:txPr>
        <a:bodyPr/>
        <a:lstStyle/>
        <a:p>
          <a:pPr>
            <a:defRPr sz="1200">
              <a:latin typeface="Times New Roman" pitchFamily="18" charset="0"/>
              <a:cs typeface="Times New Roman" pitchFamily="18"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Bac!$AH$43</c:f>
              <c:strCache>
                <c:ptCount val="1"/>
                <c:pt idx="0">
                  <c:v>Syn+Bac+lysate</c:v>
                </c:pt>
              </c:strCache>
            </c:strRef>
          </c:tx>
          <c:spPr>
            <a:ln w="28575">
              <a:solidFill>
                <a:sysClr val="windowText" lastClr="000000"/>
              </a:solidFill>
            </a:ln>
          </c:spPr>
          <c:marker>
            <c:symbol val="none"/>
          </c:marker>
          <c:errBars>
            <c:errDir val="y"/>
            <c:errBarType val="both"/>
            <c:errValType val="cust"/>
            <c:noEndCap val="0"/>
            <c:pl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plus>
            <c:min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Bac!$AI$43:$AN$43</c:f>
              <c:numCache>
                <c:formatCode>0.00</c:formatCode>
                <c:ptCount val="6"/>
                <c:pt idx="0">
                  <c:v>1.8379690235690234</c:v>
                </c:pt>
                <c:pt idx="1">
                  <c:v>3.6536765676567655</c:v>
                </c:pt>
                <c:pt idx="2">
                  <c:v>7.8998019801980206</c:v>
                </c:pt>
                <c:pt idx="3">
                  <c:v>9.8904915824915811</c:v>
                </c:pt>
                <c:pt idx="4">
                  <c:v>11.415603960396037</c:v>
                </c:pt>
                <c:pt idx="5">
                  <c:v>13.627797979797981</c:v>
                </c:pt>
              </c:numCache>
            </c:numRef>
          </c:yVal>
          <c:smooth val="0"/>
          <c:extLst>
            <c:ext xmlns:c16="http://schemas.microsoft.com/office/drawing/2014/chart" uri="{C3380CC4-5D6E-409C-BE32-E72D297353CC}">
              <c16:uniqueId val="{00000000-F7ED-4089-8C06-93407CBB4CE2}"/>
            </c:ext>
          </c:extLst>
        </c:ser>
        <c:ser>
          <c:idx val="1"/>
          <c:order val="1"/>
          <c:tx>
            <c:strRef>
              <c:f>Bac!$AH$44</c:f>
              <c:strCache>
                <c:ptCount val="1"/>
                <c:pt idx="0">
                  <c:v>Syn+Bac</c:v>
                </c:pt>
              </c:strCache>
            </c:strRef>
          </c:tx>
          <c:spPr>
            <a:ln w="28575" cmpd="dbl">
              <a:solidFill>
                <a:schemeClr val="tx1">
                  <a:lumMod val="50000"/>
                  <a:lumOff val="50000"/>
                </a:schemeClr>
              </a:solidFill>
              <a:prstDash val="solid"/>
            </a:ln>
          </c:spPr>
          <c:marker>
            <c:symbol val="none"/>
          </c:marker>
          <c:errBars>
            <c:errDir val="y"/>
            <c:errBarType val="both"/>
            <c:errValType val="cust"/>
            <c:noEndCap val="0"/>
            <c:pl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plus>
            <c:min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Bac!$AI$44:$AN$44</c:f>
              <c:numCache>
                <c:formatCode>0.00</c:formatCode>
                <c:ptCount val="6"/>
                <c:pt idx="0">
                  <c:v>1.9906316498316496</c:v>
                </c:pt>
                <c:pt idx="1">
                  <c:v>1.7993359735973595</c:v>
                </c:pt>
                <c:pt idx="2">
                  <c:v>3.6721544554455448</c:v>
                </c:pt>
                <c:pt idx="3">
                  <c:v>5.3595057239057242</c:v>
                </c:pt>
                <c:pt idx="4">
                  <c:v>6.3208290429042897</c:v>
                </c:pt>
                <c:pt idx="5">
                  <c:v>6.3543340067340068</c:v>
                </c:pt>
              </c:numCache>
            </c:numRef>
          </c:yVal>
          <c:smooth val="0"/>
          <c:extLst>
            <c:ext xmlns:c16="http://schemas.microsoft.com/office/drawing/2014/chart" uri="{C3380CC4-5D6E-409C-BE32-E72D297353CC}">
              <c16:uniqueId val="{00000001-F7ED-4089-8C06-93407CBB4CE2}"/>
            </c:ext>
          </c:extLst>
        </c:ser>
        <c:ser>
          <c:idx val="2"/>
          <c:order val="2"/>
          <c:tx>
            <c:strRef>
              <c:f>Bac!$AH$45</c:f>
              <c:strCache>
                <c:ptCount val="1"/>
                <c:pt idx="0">
                  <c:v>Syn+lysate</c:v>
                </c:pt>
              </c:strCache>
            </c:strRef>
          </c:tx>
          <c:spPr>
            <a:ln w="28575">
              <a:solidFill>
                <a:sysClr val="windowText" lastClr="000000"/>
              </a:solidFill>
              <a:prstDash val="sysDash"/>
            </a:ln>
          </c:spPr>
          <c:marker>
            <c:symbol val="none"/>
          </c:marker>
          <c:errBars>
            <c:errDir val="y"/>
            <c:errBarType val="both"/>
            <c:errValType val="cust"/>
            <c:noEndCap val="0"/>
            <c:pl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plus>
            <c:min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Bac!$AI$45:$AN$45</c:f>
              <c:numCache>
                <c:formatCode>0.00</c:formatCode>
                <c:ptCount val="6"/>
                <c:pt idx="0">
                  <c:v>1.6272686868686865</c:v>
                </c:pt>
                <c:pt idx="1">
                  <c:v>3.563260726072607</c:v>
                </c:pt>
                <c:pt idx="2">
                  <c:v>6.9376633663366336</c:v>
                </c:pt>
                <c:pt idx="3">
                  <c:v>8.4658181818181824</c:v>
                </c:pt>
                <c:pt idx="4">
                  <c:v>9.6191947194719472</c:v>
                </c:pt>
                <c:pt idx="5">
                  <c:v>10.230141414141412</c:v>
                </c:pt>
              </c:numCache>
            </c:numRef>
          </c:yVal>
          <c:smooth val="0"/>
          <c:extLst>
            <c:ext xmlns:c16="http://schemas.microsoft.com/office/drawing/2014/chart" uri="{C3380CC4-5D6E-409C-BE32-E72D297353CC}">
              <c16:uniqueId val="{00000002-F7ED-4089-8C06-93407CBB4CE2}"/>
            </c:ext>
          </c:extLst>
        </c:ser>
        <c:ser>
          <c:idx val="3"/>
          <c:order val="3"/>
          <c:tx>
            <c:strRef>
              <c:f>Bac!$AH$46</c:f>
              <c:strCache>
                <c:ptCount val="1"/>
                <c:pt idx="0">
                  <c:v>Syn</c:v>
                </c:pt>
              </c:strCache>
            </c:strRef>
          </c:tx>
          <c:spPr>
            <a:ln w="28575" cmpd="dbl">
              <a:solidFill>
                <a:schemeClr val="tx1">
                  <a:lumMod val="50000"/>
                  <a:lumOff val="50000"/>
                </a:schemeClr>
              </a:solidFill>
              <a:prstDash val="sysDash"/>
            </a:ln>
          </c:spPr>
          <c:marker>
            <c:symbol val="none"/>
          </c:marker>
          <c:errBars>
            <c:errDir val="y"/>
            <c:errBarType val="both"/>
            <c:errValType val="cust"/>
            <c:noEndCap val="0"/>
            <c:plus>
              <c:numRef>
                <c:f>Bac!$AI$53:$AN$53</c:f>
                <c:numCache>
                  <c:formatCode>General</c:formatCode>
                  <c:ptCount val="6"/>
                  <c:pt idx="0">
                    <c:v>7.5753116217413593E-3</c:v>
                  </c:pt>
                  <c:pt idx="1">
                    <c:v>0.94200207718560569</c:v>
                  </c:pt>
                  <c:pt idx="2">
                    <c:v>0.15659844913948731</c:v>
                  </c:pt>
                  <c:pt idx="3">
                    <c:v>0.28714987761871291</c:v>
                  </c:pt>
                  <c:pt idx="4">
                    <c:v>0.3073337503536826</c:v>
                  </c:pt>
                  <c:pt idx="5">
                    <c:v>0.32417489087518053</c:v>
                  </c:pt>
                </c:numCache>
              </c:numRef>
            </c:plus>
            <c:minus>
              <c:numRef>
                <c:f>Bac!$AI$53:$AN$53</c:f>
                <c:numCache>
                  <c:formatCode>General</c:formatCode>
                  <c:ptCount val="6"/>
                  <c:pt idx="0">
                    <c:v>7.5753116217413593E-3</c:v>
                  </c:pt>
                  <c:pt idx="1">
                    <c:v>0.94200207718560569</c:v>
                  </c:pt>
                  <c:pt idx="2">
                    <c:v>0.15659844913948731</c:v>
                  </c:pt>
                  <c:pt idx="3">
                    <c:v>0.28714987761871291</c:v>
                  </c:pt>
                  <c:pt idx="4">
                    <c:v>0.3073337503536826</c:v>
                  </c:pt>
                  <c:pt idx="5">
                    <c:v>0.32417489087518053</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Bac!$AI$46:$AN$46</c:f>
              <c:numCache>
                <c:formatCode>0.00</c:formatCode>
                <c:ptCount val="6"/>
                <c:pt idx="0">
                  <c:v>1.655985185185185</c:v>
                </c:pt>
                <c:pt idx="1">
                  <c:v>1.8839062706270628</c:v>
                </c:pt>
                <c:pt idx="2">
                  <c:v>3.4619260726072603</c:v>
                </c:pt>
                <c:pt idx="3">
                  <c:v>3.8556202020202015</c:v>
                </c:pt>
                <c:pt idx="4">
                  <c:v>3.9496396039603958</c:v>
                </c:pt>
                <c:pt idx="5">
                  <c:v>4.1997521885521882</c:v>
                </c:pt>
              </c:numCache>
            </c:numRef>
          </c:yVal>
          <c:smooth val="0"/>
          <c:extLst>
            <c:ext xmlns:c16="http://schemas.microsoft.com/office/drawing/2014/chart" uri="{C3380CC4-5D6E-409C-BE32-E72D297353CC}">
              <c16:uniqueId val="{00000003-F7ED-4089-8C06-93407CBB4CE2}"/>
            </c:ext>
          </c:extLst>
        </c:ser>
        <c:ser>
          <c:idx val="4"/>
          <c:order val="4"/>
          <c:tx>
            <c:strRef>
              <c:f>Bac!$AH$47</c:f>
              <c:strCache>
                <c:ptCount val="1"/>
                <c:pt idx="0">
                  <c:v>Bac</c:v>
                </c:pt>
              </c:strCache>
            </c:strRef>
          </c:tx>
          <c:spPr>
            <a:ln w="28575">
              <a:solidFill>
                <a:schemeClr val="tx1">
                  <a:lumMod val="50000"/>
                  <a:lumOff val="50000"/>
                </a:schemeClr>
              </a:solidFill>
              <a:prstDash val="sysDot"/>
            </a:ln>
          </c:spPr>
          <c:marker>
            <c:symbol val="none"/>
          </c:marker>
          <c:errBars>
            <c:errDir val="y"/>
            <c:errBarType val="both"/>
            <c:errValType val="cust"/>
            <c:noEndCap val="0"/>
            <c:plus>
              <c:numRef>
                <c:f>Bac!$AI$54:$AN$54</c:f>
                <c:numCache>
                  <c:formatCode>General</c:formatCode>
                  <c:ptCount val="6"/>
                  <c:pt idx="0">
                    <c:v>1.0909109614649141E-2</c:v>
                  </c:pt>
                  <c:pt idx="1">
                    <c:v>0.16776158794306142</c:v>
                  </c:pt>
                  <c:pt idx="2">
                    <c:v>3.1735967886305623E-2</c:v>
                  </c:pt>
                  <c:pt idx="3">
                    <c:v>8.2426846760203204E-2</c:v>
                  </c:pt>
                  <c:pt idx="4">
                    <c:v>9.0996282361356901E-2</c:v>
                  </c:pt>
                  <c:pt idx="5">
                    <c:v>8.2563759026965056E-2</c:v>
                  </c:pt>
                </c:numCache>
              </c:numRef>
            </c:plus>
            <c:minus>
              <c:numRef>
                <c:f>Bac!$AI$54:$AN$54</c:f>
                <c:numCache>
                  <c:formatCode>General</c:formatCode>
                  <c:ptCount val="6"/>
                  <c:pt idx="0">
                    <c:v>1.0909109614649141E-2</c:v>
                  </c:pt>
                  <c:pt idx="1">
                    <c:v>0.16776158794306142</c:v>
                  </c:pt>
                  <c:pt idx="2">
                    <c:v>3.1735967886305623E-2</c:v>
                  </c:pt>
                  <c:pt idx="3">
                    <c:v>8.2426846760203204E-2</c:v>
                  </c:pt>
                  <c:pt idx="4">
                    <c:v>9.0996282361356901E-2</c:v>
                  </c:pt>
                  <c:pt idx="5">
                    <c:v>8.2563759026965056E-2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Bac!$AI$47:$AN$47</c:f>
              <c:numCache>
                <c:formatCode>0.00</c:formatCode>
                <c:ptCount val="6"/>
                <c:pt idx="0">
                  <c:v>0.41795959595959598</c:v>
                </c:pt>
                <c:pt idx="1">
                  <c:v>0.33548910891089107</c:v>
                </c:pt>
                <c:pt idx="2">
                  <c:v>0.79883168316831688</c:v>
                </c:pt>
                <c:pt idx="3">
                  <c:v>0.9729494949494949</c:v>
                </c:pt>
                <c:pt idx="4">
                  <c:v>1.042621782178218</c:v>
                </c:pt>
                <c:pt idx="5">
                  <c:v>1.1362868686868688</c:v>
                </c:pt>
              </c:numCache>
            </c:numRef>
          </c:yVal>
          <c:smooth val="0"/>
          <c:extLst>
            <c:ext xmlns:c16="http://schemas.microsoft.com/office/drawing/2014/chart" uri="{C3380CC4-5D6E-409C-BE32-E72D297353CC}">
              <c16:uniqueId val="{00000004-F7ED-4089-8C06-93407CBB4CE2}"/>
            </c:ext>
          </c:extLst>
        </c:ser>
        <c:ser>
          <c:idx val="5"/>
          <c:order val="5"/>
          <c:tx>
            <c:strRef>
              <c:f>Bac!$AH$48</c:f>
              <c:strCache>
                <c:ptCount val="1"/>
                <c:pt idx="0">
                  <c:v>Bac+lysate</c:v>
                </c:pt>
              </c:strCache>
            </c:strRef>
          </c:tx>
          <c:spPr>
            <a:ln w="28575">
              <a:solidFill>
                <a:schemeClr val="tx1"/>
              </a:solidFill>
              <a:prstDash val="lgDashDot"/>
            </a:ln>
          </c:spPr>
          <c:marker>
            <c:symbol val="none"/>
          </c:marker>
          <c:errBars>
            <c:errDir val="y"/>
            <c:errBarType val="both"/>
            <c:errValType val="cust"/>
            <c:noEndCap val="0"/>
            <c:pl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plus>
            <c:min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Bac!$AI$48:$AN$48</c:f>
              <c:numCache>
                <c:formatCode>0.00</c:formatCode>
                <c:ptCount val="6"/>
                <c:pt idx="0">
                  <c:v>0.42489696969696966</c:v>
                </c:pt>
                <c:pt idx="1">
                  <c:v>1.0352831683168318</c:v>
                </c:pt>
                <c:pt idx="2">
                  <c:v>12.202431683168316</c:v>
                </c:pt>
                <c:pt idx="3">
                  <c:v>14.023111111111112</c:v>
                </c:pt>
                <c:pt idx="4">
                  <c:v>13.519466666666665</c:v>
                </c:pt>
                <c:pt idx="5">
                  <c:v>13.159305050505051</c:v>
                </c:pt>
              </c:numCache>
            </c:numRef>
          </c:yVal>
          <c:smooth val="0"/>
          <c:extLst>
            <c:ext xmlns:c16="http://schemas.microsoft.com/office/drawing/2014/chart" uri="{C3380CC4-5D6E-409C-BE32-E72D297353CC}">
              <c16:uniqueId val="{00000005-F7ED-4089-8C06-93407CBB4CE2}"/>
            </c:ext>
          </c:extLst>
        </c:ser>
        <c:dLbls>
          <c:showLegendKey val="0"/>
          <c:showVal val="0"/>
          <c:showCatName val="0"/>
          <c:showSerName val="0"/>
          <c:showPercent val="0"/>
          <c:showBubbleSize val="0"/>
        </c:dLbls>
        <c:axId val="122500608"/>
        <c:axId val="122502528"/>
      </c:scatterChart>
      <c:valAx>
        <c:axId val="122500608"/>
        <c:scaling>
          <c:orientation val="minMax"/>
          <c:max val="5"/>
        </c:scaling>
        <c:delete val="0"/>
        <c:axPos val="b"/>
        <c:title>
          <c:tx>
            <c:rich>
              <a:bodyPr/>
              <a:lstStyle/>
              <a:p>
                <a:pPr>
                  <a:defRPr sz="1200">
                    <a:latin typeface="Times New Roman" panose="02020603050405020304" pitchFamily="18" charset="0"/>
                    <a:cs typeface="Times New Roman" panose="02020603050405020304" pitchFamily="18" charset="0"/>
                  </a:defRPr>
                </a:pPr>
                <a:r>
                  <a:rPr lang="en-CA" sz="1200">
                    <a:latin typeface="Times New Roman" panose="02020603050405020304" pitchFamily="18" charset="0"/>
                    <a:cs typeface="Times New Roman" panose="02020603050405020304" pitchFamily="18" charset="0"/>
                  </a:rPr>
                  <a:t>Time (d)</a:t>
                </a:r>
              </a:p>
            </c:rich>
          </c:tx>
          <c:overlay val="0"/>
        </c:title>
        <c:numFmt formatCode="General" sourceLinked="1"/>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122502528"/>
        <c:crosses val="autoZero"/>
        <c:crossBetween val="midCat"/>
        <c:majorUnit val="1"/>
      </c:valAx>
      <c:valAx>
        <c:axId val="122502528"/>
        <c:scaling>
          <c:orientation val="minMax"/>
        </c:scaling>
        <c:delete val="0"/>
        <c:axPos val="l"/>
        <c:title>
          <c:tx>
            <c:rich>
              <a:bodyPr rot="-5400000" vert="horz"/>
              <a:lstStyle/>
              <a:p>
                <a:pPr>
                  <a:defRPr sz="1200">
                    <a:latin typeface="Times New Roman" panose="02020603050405020304" pitchFamily="18" charset="0"/>
                    <a:cs typeface="Times New Roman" panose="02020603050405020304" pitchFamily="18" charset="0"/>
                  </a:defRPr>
                </a:pPr>
                <a:r>
                  <a:rPr lang="en-CA" sz="1200">
                    <a:latin typeface="Times New Roman" panose="02020603050405020304" pitchFamily="18" charset="0"/>
                    <a:cs typeface="Times New Roman" panose="02020603050405020304" pitchFamily="18" charset="0"/>
                  </a:rPr>
                  <a:t>Bacteria (x10</a:t>
                </a:r>
                <a:r>
                  <a:rPr lang="en-CA" sz="1200" baseline="30000">
                    <a:latin typeface="Times New Roman" panose="02020603050405020304" pitchFamily="18" charset="0"/>
                    <a:cs typeface="Times New Roman" panose="02020603050405020304" pitchFamily="18" charset="0"/>
                  </a:rPr>
                  <a:t>6</a:t>
                </a:r>
                <a:r>
                  <a:rPr lang="en-CA" sz="1200">
                    <a:latin typeface="Times New Roman" panose="02020603050405020304" pitchFamily="18" charset="0"/>
                    <a:cs typeface="Times New Roman" panose="02020603050405020304" pitchFamily="18" charset="0"/>
                  </a:rPr>
                  <a:t> ml</a:t>
                </a:r>
                <a:r>
                  <a:rPr lang="en-CA" sz="1200" baseline="30000">
                    <a:latin typeface="Times New Roman" panose="02020603050405020304" pitchFamily="18" charset="0"/>
                    <a:cs typeface="Times New Roman" panose="02020603050405020304" pitchFamily="18" charset="0"/>
                  </a:rPr>
                  <a:t>-1</a:t>
                </a:r>
                <a:r>
                  <a:rPr lang="en-CA" sz="1200">
                    <a:latin typeface="Times New Roman" panose="02020603050405020304" pitchFamily="18" charset="0"/>
                    <a:cs typeface="Times New Roman" panose="02020603050405020304" pitchFamily="18" charset="0"/>
                  </a:rPr>
                  <a:t>)</a:t>
                </a:r>
              </a:p>
            </c:rich>
          </c:tx>
          <c:overlay val="0"/>
        </c:title>
        <c:numFmt formatCode="0" sourceLinked="0"/>
        <c:majorTickMark val="out"/>
        <c:minorTickMark val="none"/>
        <c:tickLblPos val="nextTo"/>
        <c:txPr>
          <a:bodyPr/>
          <a:lstStyle/>
          <a:p>
            <a:pPr>
              <a:defRPr sz="1200">
                <a:latin typeface="Times New Roman" panose="02020603050405020304" pitchFamily="18" charset="0"/>
                <a:cs typeface="Times New Roman" panose="02020603050405020304" pitchFamily="18" charset="0"/>
              </a:defRPr>
            </a:pPr>
            <a:endParaRPr lang="en-US"/>
          </a:p>
        </c:txPr>
        <c:crossAx val="122500608"/>
        <c:crosses val="autoZero"/>
        <c:crossBetween val="midCat"/>
      </c:valAx>
    </c:plotArea>
    <c:legend>
      <c:legendPos val="r"/>
      <c:overlay val="0"/>
      <c:txPr>
        <a:bodyPr/>
        <a:lstStyle/>
        <a:p>
          <a:pPr>
            <a:defRPr sz="1200">
              <a:latin typeface="Times New Roman" panose="02020603050405020304" pitchFamily="18" charset="0"/>
              <a:cs typeface="Times New Roman" panose="02020603050405020304" pitchFamily="18" charset="0"/>
            </a:defRPr>
          </a:pPr>
          <a:endParaRPr lang="en-US"/>
        </a:p>
      </c:txPr>
    </c:legend>
    <c:plotVisOnly val="1"/>
    <c:dispBlanksAs val="gap"/>
    <c:showDLblsOverMax val="0"/>
  </c:chart>
  <c:spPr>
    <a:ln>
      <a:noFill/>
    </a:ln>
  </c:sp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'NH4'!$C$3:$C$8</c:f>
              <c:numCache>
                <c:formatCode>General</c:formatCode>
                <c:ptCount val="6"/>
                <c:pt idx="0">
                  <c:v>0</c:v>
                </c:pt>
                <c:pt idx="1">
                  <c:v>0.1</c:v>
                </c:pt>
                <c:pt idx="2">
                  <c:v>0.25</c:v>
                </c:pt>
                <c:pt idx="3">
                  <c:v>0.5</c:v>
                </c:pt>
                <c:pt idx="4">
                  <c:v>1</c:v>
                </c:pt>
              </c:numCache>
            </c:numRef>
          </c:xVal>
          <c:yVal>
            <c:numRef>
              <c:f>'NH4'!$F$3:$F$8</c:f>
              <c:numCache>
                <c:formatCode>General</c:formatCode>
                <c:ptCount val="6"/>
                <c:pt idx="0">
                  <c:v>29.1</c:v>
                </c:pt>
                <c:pt idx="1">
                  <c:v>56.35</c:v>
                </c:pt>
                <c:pt idx="2">
                  <c:v>93.75</c:v>
                </c:pt>
                <c:pt idx="3">
                  <c:v>154.94999999999999</c:v>
                </c:pt>
                <c:pt idx="4">
                  <c:v>517.75</c:v>
                </c:pt>
              </c:numCache>
            </c:numRef>
          </c:yVal>
          <c:smooth val="0"/>
          <c:extLst>
            <c:ext xmlns:c16="http://schemas.microsoft.com/office/drawing/2014/chart" uri="{C3380CC4-5D6E-409C-BE32-E72D297353CC}">
              <c16:uniqueId val="{00000001-E24D-4E90-B3CD-2B46EC818191}"/>
            </c:ext>
          </c:extLst>
        </c:ser>
        <c:dLbls>
          <c:showLegendKey val="0"/>
          <c:showVal val="0"/>
          <c:showCatName val="0"/>
          <c:showSerName val="0"/>
          <c:showPercent val="0"/>
          <c:showBubbleSize val="0"/>
        </c:dLbls>
        <c:axId val="122536320"/>
        <c:axId val="122537856"/>
      </c:scatterChart>
      <c:valAx>
        <c:axId val="122536320"/>
        <c:scaling>
          <c:orientation val="minMax"/>
        </c:scaling>
        <c:delete val="0"/>
        <c:axPos val="b"/>
        <c:numFmt formatCode="General" sourceLinked="1"/>
        <c:majorTickMark val="out"/>
        <c:minorTickMark val="none"/>
        <c:tickLblPos val="nextTo"/>
        <c:crossAx val="122537856"/>
        <c:crosses val="autoZero"/>
        <c:crossBetween val="midCat"/>
      </c:valAx>
      <c:valAx>
        <c:axId val="122537856"/>
        <c:scaling>
          <c:orientation val="minMax"/>
        </c:scaling>
        <c:delete val="0"/>
        <c:axPos val="l"/>
        <c:numFmt formatCode="General" sourceLinked="1"/>
        <c:majorTickMark val="out"/>
        <c:minorTickMark val="none"/>
        <c:tickLblPos val="nextTo"/>
        <c:crossAx val="122536320"/>
        <c:crosses val="autoZero"/>
        <c:crossBetween val="midCat"/>
      </c:valAx>
    </c:plotArea>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NH4</a:t>
            </a:r>
          </a:p>
        </c:rich>
      </c:tx>
      <c:overlay val="1"/>
    </c:title>
    <c:autoTitleDeleted val="0"/>
    <c:plotArea>
      <c:layout/>
      <c:barChart>
        <c:barDir val="col"/>
        <c:grouping val="clustered"/>
        <c:varyColors val="0"/>
        <c:ser>
          <c:idx val="0"/>
          <c:order val="0"/>
          <c:tx>
            <c:strRef>
              <c:f>'NH4'!$O$28</c:f>
              <c:strCache>
                <c:ptCount val="1"/>
                <c:pt idx="0">
                  <c:v>Syn+Bac+lysate</c:v>
                </c:pt>
              </c:strCache>
            </c:strRef>
          </c:tx>
          <c:invertIfNegative val="0"/>
          <c:errBars>
            <c:errBarType val="both"/>
            <c:errValType val="cust"/>
            <c:noEndCap val="0"/>
            <c:plus>
              <c:numRef>
                <c:f>'NH4'!$X$28:$AA$28</c:f>
                <c:numCache>
                  <c:formatCode>General</c:formatCode>
                  <c:ptCount val="4"/>
                  <c:pt idx="0">
                    <c:v>4.7600682006591004E-2</c:v>
                  </c:pt>
                  <c:pt idx="1">
                    <c:v>6.3527558616913157E-2</c:v>
                  </c:pt>
                  <c:pt idx="2">
                    <c:v>0.18932221902484059</c:v>
                  </c:pt>
                  <c:pt idx="3">
                    <c:v>7.7556377414251063E-3</c:v>
                  </c:pt>
                </c:numCache>
              </c:numRef>
            </c:plus>
            <c:minus>
              <c:numRef>
                <c:f>'NH4'!$X$28:$AA$28</c:f>
                <c:numCache>
                  <c:formatCode>General</c:formatCode>
                  <c:ptCount val="4"/>
                  <c:pt idx="0">
                    <c:v>4.7600682006591004E-2</c:v>
                  </c:pt>
                  <c:pt idx="1">
                    <c:v>6.3527558616913157E-2</c:v>
                  </c:pt>
                  <c:pt idx="2">
                    <c:v>0.18932221902484059</c:v>
                  </c:pt>
                  <c:pt idx="3">
                    <c:v>7.7556377414251063E-3</c:v>
                  </c:pt>
                </c:numCache>
              </c:numRef>
            </c:minus>
          </c:errBars>
          <c:cat>
            <c:numRef>
              <c:f>'NH4'!$P$27:$U$27</c:f>
              <c:numCache>
                <c:formatCode>General</c:formatCode>
                <c:ptCount val="6"/>
                <c:pt idx="0">
                  <c:v>0</c:v>
                </c:pt>
                <c:pt idx="1">
                  <c:v>1</c:v>
                </c:pt>
                <c:pt idx="2">
                  <c:v>2</c:v>
                </c:pt>
                <c:pt idx="3">
                  <c:v>3</c:v>
                </c:pt>
                <c:pt idx="4">
                  <c:v>4</c:v>
                </c:pt>
                <c:pt idx="5">
                  <c:v>5</c:v>
                </c:pt>
              </c:numCache>
            </c:numRef>
          </c:cat>
          <c: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val>
          <c:extLst>
            <c:ext xmlns:c16="http://schemas.microsoft.com/office/drawing/2014/chart" uri="{C3380CC4-5D6E-409C-BE32-E72D297353CC}">
              <c16:uniqueId val="{00000000-7728-4708-83EE-AA89A1908ACA}"/>
            </c:ext>
          </c:extLst>
        </c:ser>
        <c:ser>
          <c:idx val="1"/>
          <c:order val="1"/>
          <c:tx>
            <c:strRef>
              <c:f>'NH4'!$O$29</c:f>
              <c:strCache>
                <c:ptCount val="1"/>
                <c:pt idx="0">
                  <c:v>Syn+Bac</c:v>
                </c:pt>
              </c:strCache>
            </c:strRef>
          </c:tx>
          <c:invertIfNegative val="0"/>
          <c:errBars>
            <c:errBarType val="both"/>
            <c:errValType val="cust"/>
            <c:noEndCap val="0"/>
            <c:plus>
              <c:numRef>
                <c:f>'NH4'!$X$29:$AA$29</c:f>
                <c:numCache>
                  <c:formatCode>General</c:formatCode>
                  <c:ptCount val="4"/>
                  <c:pt idx="0">
                    <c:v>4.3802627042326568E-3</c:v>
                  </c:pt>
                  <c:pt idx="1">
                    <c:v>1.6464069745214364E-2</c:v>
                  </c:pt>
                  <c:pt idx="2">
                    <c:v>1.077585596150449E-2</c:v>
                  </c:pt>
                  <c:pt idx="3">
                    <c:v>3.7724851756177305E-2</c:v>
                  </c:pt>
                </c:numCache>
              </c:numRef>
            </c:plus>
            <c:minus>
              <c:numRef>
                <c:f>'NH4'!$X$29:$AA$29</c:f>
                <c:numCache>
                  <c:formatCode>General</c:formatCode>
                  <c:ptCount val="4"/>
                  <c:pt idx="0">
                    <c:v>4.3802627042326568E-3</c:v>
                  </c:pt>
                  <c:pt idx="1">
                    <c:v>1.6464069745214364E-2</c:v>
                  </c:pt>
                  <c:pt idx="2">
                    <c:v>1.077585596150449E-2</c:v>
                  </c:pt>
                  <c:pt idx="3">
                    <c:v>3.7724851756177305E-2</c:v>
                  </c:pt>
                </c:numCache>
              </c:numRef>
            </c:minus>
          </c:errBars>
          <c:cat>
            <c:numRef>
              <c:f>'NH4'!$P$27:$U$27</c:f>
              <c:numCache>
                <c:formatCode>General</c:formatCode>
                <c:ptCount val="6"/>
                <c:pt idx="0">
                  <c:v>0</c:v>
                </c:pt>
                <c:pt idx="1">
                  <c:v>1</c:v>
                </c:pt>
                <c:pt idx="2">
                  <c:v>2</c:v>
                </c:pt>
                <c:pt idx="3">
                  <c:v>3</c:v>
                </c:pt>
                <c:pt idx="4">
                  <c:v>4</c:v>
                </c:pt>
                <c:pt idx="5">
                  <c:v>5</c:v>
                </c:pt>
              </c:numCache>
            </c:numRef>
          </c:cat>
          <c: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val>
          <c:extLst>
            <c:ext xmlns:c16="http://schemas.microsoft.com/office/drawing/2014/chart" uri="{C3380CC4-5D6E-409C-BE32-E72D297353CC}">
              <c16:uniqueId val="{00000001-7728-4708-83EE-AA89A1908ACA}"/>
            </c:ext>
          </c:extLst>
        </c:ser>
        <c:ser>
          <c:idx val="2"/>
          <c:order val="2"/>
          <c:tx>
            <c:strRef>
              <c:f>'NH4'!$O$30</c:f>
              <c:strCache>
                <c:ptCount val="1"/>
                <c:pt idx="0">
                  <c:v>Syn+lysate</c:v>
                </c:pt>
              </c:strCache>
            </c:strRef>
          </c:tx>
          <c:invertIfNegative val="0"/>
          <c:errBars>
            <c:errBarType val="both"/>
            <c:errValType val="cust"/>
            <c:noEndCap val="0"/>
            <c:plus>
              <c:numRef>
                <c:f>'NH4'!$X$30:$AA$30</c:f>
                <c:numCache>
                  <c:formatCode>General</c:formatCode>
                  <c:ptCount val="4"/>
                  <c:pt idx="0">
                    <c:v>2.1095154619593201E-2</c:v>
                  </c:pt>
                  <c:pt idx="1">
                    <c:v>7.7909310036772386E-2</c:v>
                  </c:pt>
                  <c:pt idx="2">
                    <c:v>0.13945235777594603</c:v>
                  </c:pt>
                  <c:pt idx="3">
                    <c:v>0.20316703852816373</c:v>
                  </c:pt>
                </c:numCache>
              </c:numRef>
            </c:plus>
            <c:minus>
              <c:numRef>
                <c:f>'NH4'!$X$30:$AA$30</c:f>
                <c:numCache>
                  <c:formatCode>General</c:formatCode>
                  <c:ptCount val="4"/>
                  <c:pt idx="0">
                    <c:v>2.1095154619593201E-2</c:v>
                  </c:pt>
                  <c:pt idx="1">
                    <c:v>7.7909310036772386E-2</c:v>
                  </c:pt>
                  <c:pt idx="2">
                    <c:v>0.13945235777594603</c:v>
                  </c:pt>
                  <c:pt idx="3">
                    <c:v>0.20316703852816373</c:v>
                  </c:pt>
                </c:numCache>
              </c:numRef>
            </c:minus>
          </c:errBars>
          <c:cat>
            <c:numRef>
              <c:f>'NH4'!$P$27:$U$27</c:f>
              <c:numCache>
                <c:formatCode>General</c:formatCode>
                <c:ptCount val="6"/>
                <c:pt idx="0">
                  <c:v>0</c:v>
                </c:pt>
                <c:pt idx="1">
                  <c:v>1</c:v>
                </c:pt>
                <c:pt idx="2">
                  <c:v>2</c:v>
                </c:pt>
                <c:pt idx="3">
                  <c:v>3</c:v>
                </c:pt>
                <c:pt idx="4">
                  <c:v>4</c:v>
                </c:pt>
                <c:pt idx="5">
                  <c:v>5</c:v>
                </c:pt>
              </c:numCache>
            </c:numRef>
          </c:cat>
          <c: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val>
          <c:extLst>
            <c:ext xmlns:c16="http://schemas.microsoft.com/office/drawing/2014/chart" uri="{C3380CC4-5D6E-409C-BE32-E72D297353CC}">
              <c16:uniqueId val="{00000002-7728-4708-83EE-AA89A1908ACA}"/>
            </c:ext>
          </c:extLst>
        </c:ser>
        <c:ser>
          <c:idx val="3"/>
          <c:order val="3"/>
          <c:tx>
            <c:strRef>
              <c:f>'NH4'!$O$31</c:f>
              <c:strCache>
                <c:ptCount val="1"/>
                <c:pt idx="0">
                  <c:v>Syn</c:v>
                </c:pt>
              </c:strCache>
            </c:strRef>
          </c:tx>
          <c:invertIfNegative val="0"/>
          <c:errBars>
            <c:errBarType val="both"/>
            <c:errValType val="cust"/>
            <c:noEndCap val="0"/>
            <c:plus>
              <c:numRef>
                <c:f>'NH4'!$X$31:$AA$31</c:f>
                <c:numCache>
                  <c:formatCode>General</c:formatCode>
                  <c:ptCount val="4"/>
                  <c:pt idx="0">
                    <c:v>1.1532782540236809E-2</c:v>
                  </c:pt>
                  <c:pt idx="1">
                    <c:v>3.5725871000934224E-2</c:v>
                  </c:pt>
                  <c:pt idx="2">
                    <c:v>9.3550276755087029E-3</c:v>
                  </c:pt>
                  <c:pt idx="3">
                    <c:v>3.0876921726658152E-2</c:v>
                  </c:pt>
                </c:numCache>
              </c:numRef>
            </c:plus>
            <c:minus>
              <c:numRef>
                <c:f>'NH4'!$X$31:$AA$31</c:f>
                <c:numCache>
                  <c:formatCode>General</c:formatCode>
                  <c:ptCount val="4"/>
                  <c:pt idx="0">
                    <c:v>1.1532782540236809E-2</c:v>
                  </c:pt>
                  <c:pt idx="1">
                    <c:v>3.5725871000934224E-2</c:v>
                  </c:pt>
                  <c:pt idx="2">
                    <c:v>9.3550276755087029E-3</c:v>
                  </c:pt>
                  <c:pt idx="3">
                    <c:v>3.0876921726658152E-2</c:v>
                  </c:pt>
                </c:numCache>
              </c:numRef>
            </c:minus>
          </c:errBars>
          <c:cat>
            <c:numRef>
              <c:f>'NH4'!$P$27:$U$27</c:f>
              <c:numCache>
                <c:formatCode>General</c:formatCode>
                <c:ptCount val="6"/>
                <c:pt idx="0">
                  <c:v>0</c:v>
                </c:pt>
                <c:pt idx="1">
                  <c:v>1</c:v>
                </c:pt>
                <c:pt idx="2">
                  <c:v>2</c:v>
                </c:pt>
                <c:pt idx="3">
                  <c:v>3</c:v>
                </c:pt>
                <c:pt idx="4">
                  <c:v>4</c:v>
                </c:pt>
                <c:pt idx="5">
                  <c:v>5</c:v>
                </c:pt>
              </c:numCache>
            </c:numRef>
          </c:cat>
          <c:val>
            <c:numRef>
              <c:f>'NH4'!$P$31:$U$31</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val>
          <c:extLst>
            <c:ext xmlns:c16="http://schemas.microsoft.com/office/drawing/2014/chart" uri="{C3380CC4-5D6E-409C-BE32-E72D297353CC}">
              <c16:uniqueId val="{00000003-7728-4708-83EE-AA89A1908ACA}"/>
            </c:ext>
          </c:extLst>
        </c:ser>
        <c:ser>
          <c:idx val="4"/>
          <c:order val="4"/>
          <c:tx>
            <c:strRef>
              <c:f>'NH4'!$O$32</c:f>
              <c:strCache>
                <c:ptCount val="1"/>
                <c:pt idx="0">
                  <c:v>Bac</c:v>
                </c:pt>
              </c:strCache>
            </c:strRef>
          </c:tx>
          <c:invertIfNegative val="0"/>
          <c:errBars>
            <c:errBarType val="both"/>
            <c:errValType val="cust"/>
            <c:noEndCap val="0"/>
            <c:plus>
              <c:numRef>
                <c:f>'NH4'!$X$32:$AA$32</c:f>
                <c:numCache>
                  <c:formatCode>General</c:formatCode>
                  <c:ptCount val="4"/>
                  <c:pt idx="0">
                    <c:v>0.11503955604264465</c:v>
                  </c:pt>
                  <c:pt idx="1">
                    <c:v>0.15978660332914785</c:v>
                  </c:pt>
                  <c:pt idx="2">
                    <c:v>1.070047011274013E-2</c:v>
                  </c:pt>
                  <c:pt idx="3">
                    <c:v>1.7365087719919573E-2</c:v>
                  </c:pt>
                </c:numCache>
              </c:numRef>
            </c:plus>
            <c:minus>
              <c:numRef>
                <c:f>'NH4'!$X$32:$AA$32</c:f>
                <c:numCache>
                  <c:formatCode>General</c:formatCode>
                  <c:ptCount val="4"/>
                  <c:pt idx="0">
                    <c:v>0.11503955604264465</c:v>
                  </c:pt>
                  <c:pt idx="1">
                    <c:v>0.15978660332914785</c:v>
                  </c:pt>
                  <c:pt idx="2">
                    <c:v>1.070047011274013E-2</c:v>
                  </c:pt>
                  <c:pt idx="3">
                    <c:v>1.7365087719919573E-2</c:v>
                  </c:pt>
                </c:numCache>
              </c:numRef>
            </c:minus>
          </c:errBars>
          <c:cat>
            <c:numRef>
              <c:f>'NH4'!$P$27:$U$27</c:f>
              <c:numCache>
                <c:formatCode>General</c:formatCode>
                <c:ptCount val="6"/>
                <c:pt idx="0">
                  <c:v>0</c:v>
                </c:pt>
                <c:pt idx="1">
                  <c:v>1</c:v>
                </c:pt>
                <c:pt idx="2">
                  <c:v>2</c:v>
                </c:pt>
                <c:pt idx="3">
                  <c:v>3</c:v>
                </c:pt>
                <c:pt idx="4">
                  <c:v>4</c:v>
                </c:pt>
                <c:pt idx="5">
                  <c:v>5</c:v>
                </c:pt>
              </c:numCache>
            </c:numRef>
          </c:cat>
          <c:val>
            <c:numRef>
              <c:f>'NH4'!$P$32:$U$32</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val>
          <c:extLst>
            <c:ext xmlns:c16="http://schemas.microsoft.com/office/drawing/2014/chart" uri="{C3380CC4-5D6E-409C-BE32-E72D297353CC}">
              <c16:uniqueId val="{00000004-7728-4708-83EE-AA89A1908ACA}"/>
            </c:ext>
          </c:extLst>
        </c:ser>
        <c:ser>
          <c:idx val="5"/>
          <c:order val="5"/>
          <c:tx>
            <c:strRef>
              <c:f>'NH4'!$O$33</c:f>
              <c:strCache>
                <c:ptCount val="1"/>
                <c:pt idx="0">
                  <c:v>Bac+lysate</c:v>
                </c:pt>
              </c:strCache>
            </c:strRef>
          </c:tx>
          <c:invertIfNegative val="0"/>
          <c:errBars>
            <c:errBarType val="both"/>
            <c:errValType val="cust"/>
            <c:noEndCap val="0"/>
            <c:plus>
              <c:numRef>
                <c:f>'NH4'!$X$33:$AA$33</c:f>
                <c:numCache>
                  <c:formatCode>General</c:formatCode>
                  <c:ptCount val="4"/>
                  <c:pt idx="0">
                    <c:v>3.1897106051087934E-2</c:v>
                  </c:pt>
                  <c:pt idx="1">
                    <c:v>8.9127940259661809E-2</c:v>
                  </c:pt>
                  <c:pt idx="2">
                    <c:v>4.8219451548288203E-2</c:v>
                  </c:pt>
                  <c:pt idx="3">
                    <c:v>0.1077296723170816</c:v>
                  </c:pt>
                </c:numCache>
              </c:numRef>
            </c:plus>
            <c:minus>
              <c:numRef>
                <c:f>'NH4'!$X$33:$AA$33</c:f>
                <c:numCache>
                  <c:formatCode>General</c:formatCode>
                  <c:ptCount val="4"/>
                  <c:pt idx="0">
                    <c:v>3.1897106051087934E-2</c:v>
                  </c:pt>
                  <c:pt idx="1">
                    <c:v>8.9127940259661809E-2</c:v>
                  </c:pt>
                  <c:pt idx="2">
                    <c:v>4.8219451548288203E-2</c:v>
                  </c:pt>
                  <c:pt idx="3">
                    <c:v>0.1077296723170816</c:v>
                  </c:pt>
                </c:numCache>
              </c:numRef>
            </c:minus>
          </c:errBars>
          <c:cat>
            <c:numRef>
              <c:f>'NH4'!$P$27:$U$27</c:f>
              <c:numCache>
                <c:formatCode>General</c:formatCode>
                <c:ptCount val="6"/>
                <c:pt idx="0">
                  <c:v>0</c:v>
                </c:pt>
                <c:pt idx="1">
                  <c:v>1</c:v>
                </c:pt>
                <c:pt idx="2">
                  <c:v>2</c:v>
                </c:pt>
                <c:pt idx="3">
                  <c:v>3</c:v>
                </c:pt>
                <c:pt idx="4">
                  <c:v>4</c:v>
                </c:pt>
                <c:pt idx="5">
                  <c:v>5</c:v>
                </c:pt>
              </c:numCache>
            </c:numRef>
          </c:cat>
          <c: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val>
          <c:extLst>
            <c:ext xmlns:c16="http://schemas.microsoft.com/office/drawing/2014/chart" uri="{C3380CC4-5D6E-409C-BE32-E72D297353CC}">
              <c16:uniqueId val="{00000005-7728-4708-83EE-AA89A1908ACA}"/>
            </c:ext>
          </c:extLst>
        </c:ser>
        <c:dLbls>
          <c:showLegendKey val="0"/>
          <c:showVal val="0"/>
          <c:showCatName val="0"/>
          <c:showSerName val="0"/>
          <c:showPercent val="0"/>
          <c:showBubbleSize val="0"/>
        </c:dLbls>
        <c:gapWidth val="150"/>
        <c:axId val="122260864"/>
        <c:axId val="122266752"/>
      </c:barChart>
      <c:catAx>
        <c:axId val="122260864"/>
        <c:scaling>
          <c:orientation val="minMax"/>
        </c:scaling>
        <c:delete val="0"/>
        <c:axPos val="b"/>
        <c:numFmt formatCode="General" sourceLinked="1"/>
        <c:majorTickMark val="out"/>
        <c:minorTickMark val="none"/>
        <c:tickLblPos val="nextTo"/>
        <c:crossAx val="122266752"/>
        <c:crosses val="autoZero"/>
        <c:auto val="1"/>
        <c:lblAlgn val="ctr"/>
        <c:lblOffset val="100"/>
        <c:noMultiLvlLbl val="0"/>
      </c:catAx>
      <c:valAx>
        <c:axId val="122266752"/>
        <c:scaling>
          <c:orientation val="minMax"/>
        </c:scaling>
        <c:delete val="0"/>
        <c:axPos val="l"/>
        <c:title>
          <c:tx>
            <c:rich>
              <a:bodyPr rot="-5400000" vert="horz"/>
              <a:lstStyle/>
              <a:p>
                <a:pPr>
                  <a:defRPr/>
                </a:pPr>
                <a:r>
                  <a:rPr lang="en-CA"/>
                  <a:t>Ammonium (uM)</a:t>
                </a:r>
              </a:p>
            </c:rich>
          </c:tx>
          <c:overlay val="0"/>
        </c:title>
        <c:numFmt formatCode="General" sourceLinked="1"/>
        <c:majorTickMark val="out"/>
        <c:minorTickMark val="none"/>
        <c:tickLblPos val="nextTo"/>
        <c:crossAx val="12226086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0"/>
          <c:order val="0"/>
          <c:tx>
            <c:strRef>
              <c:f>'NH4'!$O$28</c:f>
              <c:strCache>
                <c:ptCount val="1"/>
                <c:pt idx="0">
                  <c:v>Syn+Bac+lysate</c:v>
                </c:pt>
              </c:strCache>
            </c:strRef>
          </c:tx>
          <c:spPr>
            <a:ln w="28575">
              <a:solidFill>
                <a:sysClr val="windowText" lastClr="000000"/>
              </a:solidFill>
            </a:ln>
          </c:spPr>
          <c:marker>
            <c:symbol val="none"/>
          </c:marker>
          <c:errBars>
            <c:errDir val="y"/>
            <c:errBarType val="both"/>
            <c:errValType val="cust"/>
            <c:noEndCap val="0"/>
            <c:pl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0-AB81-4F0C-829C-1D6A3FE85E71}"/>
            </c:ext>
          </c:extLst>
        </c:ser>
        <c:ser>
          <c:idx val="1"/>
          <c:order val="1"/>
          <c:tx>
            <c:strRef>
              <c:f>'NH4'!$O$29</c:f>
              <c:strCache>
                <c:ptCount val="1"/>
                <c:pt idx="0">
                  <c:v>Syn+Bac</c:v>
                </c:pt>
              </c:strCache>
            </c:strRef>
          </c:tx>
          <c:spPr>
            <a:ln w="28575" cmpd="dbl">
              <a:solidFill>
                <a:schemeClr val="bg1">
                  <a:lumMod val="50000"/>
                </a:schemeClr>
              </a:solidFill>
            </a:ln>
          </c:spPr>
          <c:marker>
            <c:symbol val="none"/>
          </c:marker>
          <c:errBars>
            <c:errDir val="y"/>
            <c:errBarType val="both"/>
            <c:errValType val="cust"/>
            <c:noEndCap val="0"/>
            <c:pl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1-AB81-4F0C-829C-1D6A3FE85E71}"/>
            </c:ext>
          </c:extLst>
        </c:ser>
        <c:ser>
          <c:idx val="2"/>
          <c:order val="2"/>
          <c:tx>
            <c:strRef>
              <c:f>'NH4'!$O$30</c:f>
              <c:strCache>
                <c:ptCount val="1"/>
                <c:pt idx="0">
                  <c:v>Syn+lysate</c:v>
                </c:pt>
              </c:strCache>
            </c:strRef>
          </c:tx>
          <c:spPr>
            <a:ln w="28575">
              <a:solidFill>
                <a:sysClr val="windowText" lastClr="000000"/>
              </a:solidFill>
              <a:prstDash val="sysDash"/>
            </a:ln>
          </c:spPr>
          <c:marker>
            <c:symbol val="none"/>
          </c:marker>
          <c:errBars>
            <c:errDir val="y"/>
            <c:errBarType val="both"/>
            <c:errValType val="cust"/>
            <c:noEndCap val="0"/>
            <c:pl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2-AB81-4F0C-829C-1D6A3FE85E71}"/>
            </c:ext>
          </c:extLst>
        </c:ser>
        <c:ser>
          <c:idx val="3"/>
          <c:order val="3"/>
          <c:tx>
            <c:strRef>
              <c:f>'NH4'!$O$31</c:f>
              <c:strCache>
                <c:ptCount val="1"/>
                <c:pt idx="0">
                  <c:v>Syn</c:v>
                </c:pt>
              </c:strCache>
            </c:strRef>
          </c:tx>
          <c:spPr>
            <a:ln w="28575" cmpd="dbl">
              <a:solidFill>
                <a:schemeClr val="bg1">
                  <a:lumMod val="50000"/>
                </a:schemeClr>
              </a:solidFill>
              <a:prstDash val="sysDash"/>
            </a:ln>
          </c:spPr>
          <c:marker>
            <c:symbol val="none"/>
          </c:marker>
          <c:errBars>
            <c:errDir val="y"/>
            <c:errBarType val="both"/>
            <c:errValType val="cust"/>
            <c:noEndCap val="0"/>
            <c:pl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plus>
            <c:min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'NH4'!$P$31:$U$31</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yVal>
          <c:smooth val="0"/>
          <c:extLst>
            <c:ext xmlns:c16="http://schemas.microsoft.com/office/drawing/2014/chart" uri="{C3380CC4-5D6E-409C-BE32-E72D297353CC}">
              <c16:uniqueId val="{00000003-AB81-4F0C-829C-1D6A3FE85E71}"/>
            </c:ext>
          </c:extLst>
        </c:ser>
        <c:ser>
          <c:idx val="4"/>
          <c:order val="4"/>
          <c:tx>
            <c:strRef>
              <c:f>'NH4'!$O$32</c:f>
              <c:strCache>
                <c:ptCount val="1"/>
                <c:pt idx="0">
                  <c:v>Bac</c:v>
                </c:pt>
              </c:strCache>
            </c:strRef>
          </c:tx>
          <c:spPr>
            <a:ln w="28575">
              <a:solidFill>
                <a:schemeClr val="bg1">
                  <a:lumMod val="50000"/>
                </a:schemeClr>
              </a:solidFill>
              <a:prstDash val="sysDot"/>
            </a:ln>
          </c:spPr>
          <c:marker>
            <c:symbol val="none"/>
          </c:marker>
          <c:errBars>
            <c:errDir val="y"/>
            <c:errBarType val="both"/>
            <c:errValType val="cust"/>
            <c:noEndCap val="0"/>
            <c:pl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plus>
            <c:min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'NH4'!$P$32:$U$32</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yVal>
          <c:smooth val="0"/>
          <c:extLst>
            <c:ext xmlns:c16="http://schemas.microsoft.com/office/drawing/2014/chart" uri="{C3380CC4-5D6E-409C-BE32-E72D297353CC}">
              <c16:uniqueId val="{00000004-AB81-4F0C-829C-1D6A3FE85E71}"/>
            </c:ext>
          </c:extLst>
        </c:ser>
        <c:ser>
          <c:idx val="5"/>
          <c:order val="5"/>
          <c:tx>
            <c:strRef>
              <c:f>'NH4'!$O$33</c:f>
              <c:strCache>
                <c:ptCount val="1"/>
                <c:pt idx="0">
                  <c:v>Bac+lysate</c:v>
                </c:pt>
              </c:strCache>
            </c:strRef>
          </c:tx>
          <c:spPr>
            <a:ln w="28575">
              <a:solidFill>
                <a:sysClr val="windowText" lastClr="000000"/>
              </a:solidFill>
              <a:prstDash val="lgDashDot"/>
            </a:ln>
          </c:spPr>
          <c:marker>
            <c:symbol val="none"/>
          </c:marker>
          <c:errBars>
            <c:errDir val="y"/>
            <c:errBarType val="both"/>
            <c:errValType val="cust"/>
            <c:noEndCap val="0"/>
            <c:pl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5-AB81-4F0C-829C-1D6A3FE85E71}"/>
            </c:ext>
          </c:extLst>
        </c:ser>
        <c:dLbls>
          <c:showLegendKey val="0"/>
          <c:showVal val="0"/>
          <c:showCatName val="0"/>
          <c:showSerName val="0"/>
          <c:showPercent val="0"/>
          <c:showBubbleSize val="0"/>
        </c:dLbls>
        <c:axId val="122401152"/>
        <c:axId val="122403072"/>
      </c:scatterChart>
      <c:valAx>
        <c:axId val="122401152"/>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2403072"/>
        <c:crosses val="autoZero"/>
        <c:crossBetween val="midCat"/>
      </c:valAx>
      <c:valAx>
        <c:axId val="122403072"/>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2401152"/>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'NH4'!$K$3:$K$8</c:f>
              <c:numCache>
                <c:formatCode>General</c:formatCode>
                <c:ptCount val="6"/>
                <c:pt idx="0">
                  <c:v>0</c:v>
                </c:pt>
                <c:pt idx="1">
                  <c:v>0.5</c:v>
                </c:pt>
                <c:pt idx="2">
                  <c:v>1</c:v>
                </c:pt>
                <c:pt idx="3">
                  <c:v>5</c:v>
                </c:pt>
              </c:numCache>
            </c:numRef>
          </c:xVal>
          <c:yVal>
            <c:numRef>
              <c:f>'NH4'!$N$3:$N$8</c:f>
              <c:numCache>
                <c:formatCode>General</c:formatCode>
                <c:ptCount val="6"/>
                <c:pt idx="0">
                  <c:v>5.45</c:v>
                </c:pt>
                <c:pt idx="1">
                  <c:v>28.95</c:v>
                </c:pt>
                <c:pt idx="2">
                  <c:v>96.9</c:v>
                </c:pt>
                <c:pt idx="3">
                  <c:v>417.1</c:v>
                </c:pt>
              </c:numCache>
            </c:numRef>
          </c:yVal>
          <c:smooth val="0"/>
          <c:extLst>
            <c:ext xmlns:c16="http://schemas.microsoft.com/office/drawing/2014/chart" uri="{C3380CC4-5D6E-409C-BE32-E72D297353CC}">
              <c16:uniqueId val="{00000001-10BB-43FD-AF8B-84ADA5DD1096}"/>
            </c:ext>
          </c:extLst>
        </c:ser>
        <c:dLbls>
          <c:showLegendKey val="0"/>
          <c:showVal val="0"/>
          <c:showCatName val="0"/>
          <c:showSerName val="0"/>
          <c:showPercent val="0"/>
          <c:showBubbleSize val="0"/>
        </c:dLbls>
        <c:axId val="122309632"/>
        <c:axId val="122311424"/>
      </c:scatterChart>
      <c:valAx>
        <c:axId val="122309632"/>
        <c:scaling>
          <c:orientation val="minMax"/>
        </c:scaling>
        <c:delete val="0"/>
        <c:axPos val="b"/>
        <c:numFmt formatCode="General" sourceLinked="1"/>
        <c:majorTickMark val="out"/>
        <c:minorTickMark val="none"/>
        <c:tickLblPos val="nextTo"/>
        <c:crossAx val="122311424"/>
        <c:crosses val="autoZero"/>
        <c:crossBetween val="midCat"/>
      </c:valAx>
      <c:valAx>
        <c:axId val="122311424"/>
        <c:scaling>
          <c:orientation val="minMax"/>
        </c:scaling>
        <c:delete val="0"/>
        <c:axPos val="l"/>
        <c:numFmt formatCode="General" sourceLinked="1"/>
        <c:majorTickMark val="out"/>
        <c:minorTickMark val="none"/>
        <c:tickLblPos val="nextTo"/>
        <c:crossAx val="122309632"/>
        <c:crosses val="autoZero"/>
        <c:crossBetween val="midCat"/>
      </c:valAx>
    </c:plotArea>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'NH4'!$C$11:$C$16</c:f>
              <c:numCache>
                <c:formatCode>General</c:formatCode>
                <c:ptCount val="6"/>
                <c:pt idx="0">
                  <c:v>0</c:v>
                </c:pt>
                <c:pt idx="1">
                  <c:v>0.1</c:v>
                </c:pt>
                <c:pt idx="2">
                  <c:v>0.25</c:v>
                </c:pt>
                <c:pt idx="3">
                  <c:v>0.5</c:v>
                </c:pt>
              </c:numCache>
            </c:numRef>
          </c:xVal>
          <c:yVal>
            <c:numRef>
              <c:f>'NH4'!$F$11:$F$16</c:f>
              <c:numCache>
                <c:formatCode>General</c:formatCode>
                <c:ptCount val="6"/>
                <c:pt idx="0">
                  <c:v>39.450000000000003</c:v>
                </c:pt>
                <c:pt idx="1">
                  <c:v>64.300000000000011</c:v>
                </c:pt>
                <c:pt idx="2">
                  <c:v>103.45</c:v>
                </c:pt>
                <c:pt idx="3">
                  <c:v>176.25</c:v>
                </c:pt>
              </c:numCache>
            </c:numRef>
          </c:yVal>
          <c:smooth val="0"/>
          <c:extLst>
            <c:ext xmlns:c16="http://schemas.microsoft.com/office/drawing/2014/chart" uri="{C3380CC4-5D6E-409C-BE32-E72D297353CC}">
              <c16:uniqueId val="{00000001-CD2F-4F0B-94B3-38BCB2FE37E4}"/>
            </c:ext>
          </c:extLst>
        </c:ser>
        <c:dLbls>
          <c:showLegendKey val="0"/>
          <c:showVal val="0"/>
          <c:showCatName val="0"/>
          <c:showSerName val="0"/>
          <c:showPercent val="0"/>
          <c:showBubbleSize val="0"/>
        </c:dLbls>
        <c:axId val="122340096"/>
        <c:axId val="122341632"/>
      </c:scatterChart>
      <c:valAx>
        <c:axId val="122340096"/>
        <c:scaling>
          <c:orientation val="minMax"/>
        </c:scaling>
        <c:delete val="0"/>
        <c:axPos val="b"/>
        <c:numFmt formatCode="General" sourceLinked="1"/>
        <c:majorTickMark val="out"/>
        <c:minorTickMark val="none"/>
        <c:tickLblPos val="nextTo"/>
        <c:crossAx val="122341632"/>
        <c:crosses val="autoZero"/>
        <c:crossBetween val="midCat"/>
      </c:valAx>
      <c:valAx>
        <c:axId val="122341632"/>
        <c:scaling>
          <c:orientation val="minMax"/>
        </c:scaling>
        <c:delete val="0"/>
        <c:axPos val="l"/>
        <c:numFmt formatCode="General" sourceLinked="1"/>
        <c:majorTickMark val="out"/>
        <c:minorTickMark val="none"/>
        <c:tickLblPos val="nextTo"/>
        <c:crossAx val="122340096"/>
        <c:crosses val="autoZero"/>
        <c:crossBetween val="midCat"/>
      </c:valAx>
    </c:plotArea>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'NH4'!$K$11:$K$16</c:f>
              <c:numCache>
                <c:formatCode>General</c:formatCode>
                <c:ptCount val="6"/>
                <c:pt idx="0">
                  <c:v>0</c:v>
                </c:pt>
                <c:pt idx="1">
                  <c:v>0.5</c:v>
                </c:pt>
                <c:pt idx="2">
                  <c:v>1</c:v>
                </c:pt>
                <c:pt idx="3">
                  <c:v>5</c:v>
                </c:pt>
                <c:pt idx="4">
                  <c:v>10</c:v>
                </c:pt>
              </c:numCache>
            </c:numRef>
          </c:xVal>
          <c:yVal>
            <c:numRef>
              <c:f>'NH4'!$N$11:$N$16</c:f>
              <c:numCache>
                <c:formatCode>General</c:formatCode>
                <c:ptCount val="6"/>
                <c:pt idx="0">
                  <c:v>5.05</c:v>
                </c:pt>
                <c:pt idx="1">
                  <c:v>23.15</c:v>
                </c:pt>
                <c:pt idx="2">
                  <c:v>83.95</c:v>
                </c:pt>
                <c:pt idx="3">
                  <c:v>329.1</c:v>
                </c:pt>
                <c:pt idx="4">
                  <c:v>599.85</c:v>
                </c:pt>
              </c:numCache>
            </c:numRef>
          </c:yVal>
          <c:smooth val="0"/>
          <c:extLst>
            <c:ext xmlns:c16="http://schemas.microsoft.com/office/drawing/2014/chart" uri="{C3380CC4-5D6E-409C-BE32-E72D297353CC}">
              <c16:uniqueId val="{00000001-E6F3-44A9-9E6F-12AF4E41501A}"/>
            </c:ext>
          </c:extLst>
        </c:ser>
        <c:dLbls>
          <c:showLegendKey val="0"/>
          <c:showVal val="0"/>
          <c:showCatName val="0"/>
          <c:showSerName val="0"/>
          <c:showPercent val="0"/>
          <c:showBubbleSize val="0"/>
        </c:dLbls>
        <c:axId val="122829056"/>
        <c:axId val="122830848"/>
      </c:scatterChart>
      <c:valAx>
        <c:axId val="122829056"/>
        <c:scaling>
          <c:orientation val="minMax"/>
        </c:scaling>
        <c:delete val="0"/>
        <c:axPos val="b"/>
        <c:numFmt formatCode="General" sourceLinked="1"/>
        <c:majorTickMark val="out"/>
        <c:minorTickMark val="none"/>
        <c:tickLblPos val="nextTo"/>
        <c:crossAx val="122830848"/>
        <c:crosses val="autoZero"/>
        <c:crossBetween val="midCat"/>
      </c:valAx>
      <c:valAx>
        <c:axId val="122830848"/>
        <c:scaling>
          <c:orientation val="minMax"/>
        </c:scaling>
        <c:delete val="0"/>
        <c:axPos val="l"/>
        <c:numFmt formatCode="General" sourceLinked="1"/>
        <c:majorTickMark val="out"/>
        <c:minorTickMark val="none"/>
        <c:tickLblPos val="nextTo"/>
        <c:crossAx val="122829056"/>
        <c:crosses val="autoZero"/>
        <c:crossBetween val="midCat"/>
      </c:valAx>
    </c:plotArea>
    <c:plotVisOnly val="1"/>
    <c:dispBlanksAs val="gap"/>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'NH4'!$C$59:$C$62</c:f>
              <c:numCache>
                <c:formatCode>General</c:formatCode>
                <c:ptCount val="4"/>
                <c:pt idx="0">
                  <c:v>0</c:v>
                </c:pt>
                <c:pt idx="1">
                  <c:v>0.1</c:v>
                </c:pt>
                <c:pt idx="2">
                  <c:v>0.25</c:v>
                </c:pt>
                <c:pt idx="3">
                  <c:v>0.5</c:v>
                </c:pt>
              </c:numCache>
            </c:numRef>
          </c:xVal>
          <c:yVal>
            <c:numRef>
              <c:f>'NH4'!$F$59:$F$62</c:f>
              <c:numCache>
                <c:formatCode>General</c:formatCode>
                <c:ptCount val="4"/>
                <c:pt idx="0">
                  <c:v>30.05</c:v>
                </c:pt>
                <c:pt idx="1">
                  <c:v>67.550000000000011</c:v>
                </c:pt>
                <c:pt idx="2">
                  <c:v>107.69999999999999</c:v>
                </c:pt>
                <c:pt idx="3">
                  <c:v>172.05</c:v>
                </c:pt>
              </c:numCache>
            </c:numRef>
          </c:yVal>
          <c:smooth val="0"/>
          <c:extLst>
            <c:ext xmlns:c16="http://schemas.microsoft.com/office/drawing/2014/chart" uri="{C3380CC4-5D6E-409C-BE32-E72D297353CC}">
              <c16:uniqueId val="{00000001-E214-4B73-8FE2-D0EB2F8D5AE6}"/>
            </c:ext>
          </c:extLst>
        </c:ser>
        <c:dLbls>
          <c:showLegendKey val="0"/>
          <c:showVal val="0"/>
          <c:showCatName val="0"/>
          <c:showSerName val="0"/>
          <c:showPercent val="0"/>
          <c:showBubbleSize val="0"/>
        </c:dLbls>
        <c:axId val="122859520"/>
        <c:axId val="122861056"/>
      </c:scatterChart>
      <c:valAx>
        <c:axId val="122859520"/>
        <c:scaling>
          <c:orientation val="minMax"/>
        </c:scaling>
        <c:delete val="0"/>
        <c:axPos val="b"/>
        <c:numFmt formatCode="General" sourceLinked="1"/>
        <c:majorTickMark val="out"/>
        <c:minorTickMark val="none"/>
        <c:tickLblPos val="nextTo"/>
        <c:crossAx val="122861056"/>
        <c:crosses val="autoZero"/>
        <c:crossBetween val="midCat"/>
      </c:valAx>
      <c:valAx>
        <c:axId val="122861056"/>
        <c:scaling>
          <c:orientation val="minMax"/>
        </c:scaling>
        <c:delete val="0"/>
        <c:axPos val="l"/>
        <c:numFmt formatCode="General" sourceLinked="1"/>
        <c:majorTickMark val="out"/>
        <c:minorTickMark val="none"/>
        <c:tickLblPos val="nextTo"/>
        <c:crossAx val="122859520"/>
        <c:crosses val="autoZero"/>
        <c:crossBetween val="midCat"/>
      </c:valAx>
    </c:plotArea>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8575">
              <a:noFill/>
            </a:ln>
          </c:spPr>
          <c:trendline>
            <c:trendlineType val="linear"/>
            <c:dispRSqr val="0"/>
            <c:dispEq val="1"/>
            <c:trendlineLbl>
              <c:numFmt formatCode="General" sourceLinked="0"/>
            </c:trendlineLbl>
          </c:trendline>
          <c:xVal>
            <c:numRef>
              <c:f>'NH4'!$K$59:$K$63</c:f>
              <c:numCache>
                <c:formatCode>General</c:formatCode>
                <c:ptCount val="5"/>
                <c:pt idx="0">
                  <c:v>0</c:v>
                </c:pt>
                <c:pt idx="1">
                  <c:v>0.5</c:v>
                </c:pt>
                <c:pt idx="2">
                  <c:v>1</c:v>
                </c:pt>
                <c:pt idx="3">
                  <c:v>5</c:v>
                </c:pt>
                <c:pt idx="4">
                  <c:v>10</c:v>
                </c:pt>
              </c:numCache>
            </c:numRef>
          </c:xVal>
          <c:yVal>
            <c:numRef>
              <c:f>'NH4'!$N$59:$N$63</c:f>
              <c:numCache>
                <c:formatCode>General</c:formatCode>
                <c:ptCount val="5"/>
                <c:pt idx="0">
                  <c:v>3.95</c:v>
                </c:pt>
                <c:pt idx="1">
                  <c:v>22.2</c:v>
                </c:pt>
                <c:pt idx="2">
                  <c:v>77.349999999999994</c:v>
                </c:pt>
                <c:pt idx="3">
                  <c:v>325.20000000000005</c:v>
                </c:pt>
                <c:pt idx="4">
                  <c:v>601.20000000000005</c:v>
                </c:pt>
              </c:numCache>
            </c:numRef>
          </c:yVal>
          <c:smooth val="0"/>
          <c:extLst>
            <c:ext xmlns:c16="http://schemas.microsoft.com/office/drawing/2014/chart" uri="{C3380CC4-5D6E-409C-BE32-E72D297353CC}">
              <c16:uniqueId val="{00000001-4B35-40B8-A88F-172D15607DAE}"/>
            </c:ext>
          </c:extLst>
        </c:ser>
        <c:dLbls>
          <c:showLegendKey val="0"/>
          <c:showVal val="0"/>
          <c:showCatName val="0"/>
          <c:showSerName val="0"/>
          <c:showPercent val="0"/>
          <c:showBubbleSize val="0"/>
        </c:dLbls>
        <c:axId val="122877440"/>
        <c:axId val="122878976"/>
      </c:scatterChart>
      <c:valAx>
        <c:axId val="122877440"/>
        <c:scaling>
          <c:orientation val="minMax"/>
        </c:scaling>
        <c:delete val="0"/>
        <c:axPos val="b"/>
        <c:numFmt formatCode="General" sourceLinked="1"/>
        <c:majorTickMark val="out"/>
        <c:minorTickMark val="none"/>
        <c:tickLblPos val="nextTo"/>
        <c:crossAx val="122878976"/>
        <c:crosses val="autoZero"/>
        <c:crossBetween val="midCat"/>
      </c:valAx>
      <c:valAx>
        <c:axId val="122878976"/>
        <c:scaling>
          <c:orientation val="minMax"/>
        </c:scaling>
        <c:delete val="0"/>
        <c:axPos val="l"/>
        <c:numFmt formatCode="General" sourceLinked="1"/>
        <c:majorTickMark val="out"/>
        <c:minorTickMark val="none"/>
        <c:tickLblPos val="nextTo"/>
        <c:crossAx val="122877440"/>
        <c:crosses val="autoZero"/>
        <c:crossBetween val="midCat"/>
      </c:valAx>
    </c:plotArea>
    <c:plotVisOnly val="1"/>
    <c:dispBlanksAs val="gap"/>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'NH4'!$O$28</c:f>
              <c:strCache>
                <c:ptCount val="1"/>
                <c:pt idx="0">
                  <c:v>Syn+Bac+lysate</c:v>
                </c:pt>
              </c:strCache>
            </c:strRef>
          </c:tx>
          <c:spPr>
            <a:ln w="28575">
              <a:solidFill>
                <a:schemeClr val="accent1"/>
              </a:solidFill>
            </a:ln>
          </c:spPr>
          <c:marker>
            <c:spPr>
              <a:ln>
                <a:solidFill>
                  <a:schemeClr val="accent1"/>
                </a:solidFill>
              </a:ln>
            </c:spPr>
          </c:marker>
          <c:errBars>
            <c:errDir val="y"/>
            <c:errBarType val="both"/>
            <c:errValType val="cust"/>
            <c:noEndCap val="0"/>
            <c:pl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0-80A8-41AA-AB43-9E7EB2B6DE92}"/>
            </c:ext>
          </c:extLst>
        </c:ser>
        <c:ser>
          <c:idx val="1"/>
          <c:order val="1"/>
          <c:tx>
            <c:strRef>
              <c:f>'NH4'!$O$29</c:f>
              <c:strCache>
                <c:ptCount val="1"/>
                <c:pt idx="0">
                  <c:v>Syn+Bac</c:v>
                </c:pt>
              </c:strCache>
            </c:strRef>
          </c:tx>
          <c:spPr>
            <a:ln w="28575">
              <a:solidFill>
                <a:schemeClr val="accent2"/>
              </a:solidFill>
            </a:ln>
          </c:spPr>
          <c:marker>
            <c:spPr>
              <a:ln>
                <a:solidFill>
                  <a:schemeClr val="accent2"/>
                </a:solidFill>
              </a:ln>
            </c:spPr>
          </c:marker>
          <c:errBars>
            <c:errDir val="y"/>
            <c:errBarType val="both"/>
            <c:errValType val="cust"/>
            <c:noEndCap val="0"/>
            <c:pl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1-80A8-41AA-AB43-9E7EB2B6DE92}"/>
            </c:ext>
          </c:extLst>
        </c:ser>
        <c:ser>
          <c:idx val="2"/>
          <c:order val="2"/>
          <c:tx>
            <c:strRef>
              <c:f>'NH4'!$O$30</c:f>
              <c:strCache>
                <c:ptCount val="1"/>
                <c:pt idx="0">
                  <c:v>Syn+lysate</c:v>
                </c:pt>
              </c:strCache>
            </c:strRef>
          </c:tx>
          <c:spPr>
            <a:ln w="28575">
              <a:solidFill>
                <a:schemeClr val="accent3"/>
              </a:solidFill>
            </a:ln>
          </c:spPr>
          <c:marker>
            <c:spPr>
              <a:ln>
                <a:solidFill>
                  <a:schemeClr val="accent3"/>
                </a:solidFill>
              </a:ln>
            </c:spPr>
          </c:marker>
          <c:errBars>
            <c:errDir val="y"/>
            <c:errBarType val="both"/>
            <c:errValType val="cust"/>
            <c:noEndCap val="0"/>
            <c:pl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2-80A8-41AA-AB43-9E7EB2B6DE92}"/>
            </c:ext>
          </c:extLst>
        </c:ser>
        <c:ser>
          <c:idx val="3"/>
          <c:order val="3"/>
          <c:tx>
            <c:strRef>
              <c:f>'NH4'!$O$31</c:f>
              <c:strCache>
                <c:ptCount val="1"/>
                <c:pt idx="0">
                  <c:v>Syn</c:v>
                </c:pt>
              </c:strCache>
            </c:strRef>
          </c:tx>
          <c:spPr>
            <a:ln w="28575">
              <a:solidFill>
                <a:schemeClr val="accent2">
                  <a:lumMod val="60000"/>
                  <a:lumOff val="40000"/>
                </a:schemeClr>
              </a:solidFill>
            </a:ln>
          </c:spPr>
          <c:marker>
            <c:spPr>
              <a:ln>
                <a:solidFill>
                  <a:schemeClr val="accent2">
                    <a:lumMod val="60000"/>
                    <a:lumOff val="40000"/>
                  </a:schemeClr>
                </a:solidFill>
              </a:ln>
            </c:spPr>
          </c:marker>
          <c:errBars>
            <c:errDir val="y"/>
            <c:errBarType val="both"/>
            <c:errValType val="cust"/>
            <c:noEndCap val="0"/>
            <c:pl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plus>
            <c:min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'NH4'!$P$31:$U$31</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yVal>
          <c:smooth val="0"/>
          <c:extLst>
            <c:ext xmlns:c16="http://schemas.microsoft.com/office/drawing/2014/chart" uri="{C3380CC4-5D6E-409C-BE32-E72D297353CC}">
              <c16:uniqueId val="{00000003-80A8-41AA-AB43-9E7EB2B6DE92}"/>
            </c:ext>
          </c:extLst>
        </c:ser>
        <c:ser>
          <c:idx val="4"/>
          <c:order val="4"/>
          <c:tx>
            <c:strRef>
              <c:f>'NH4'!$O$32</c:f>
              <c:strCache>
                <c:ptCount val="1"/>
                <c:pt idx="0">
                  <c:v>Bac</c:v>
                </c:pt>
              </c:strCache>
            </c:strRef>
          </c:tx>
          <c:spPr>
            <a:ln w="28575">
              <a:solidFill>
                <a:schemeClr val="accent5"/>
              </a:solidFill>
            </a:ln>
          </c:spPr>
          <c:marker>
            <c:spPr>
              <a:ln>
                <a:solidFill>
                  <a:schemeClr val="accent5"/>
                </a:solidFill>
              </a:ln>
            </c:spPr>
          </c:marker>
          <c:errBars>
            <c:errDir val="y"/>
            <c:errBarType val="both"/>
            <c:errValType val="cust"/>
            <c:noEndCap val="0"/>
            <c:pl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plus>
            <c:min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'NH4'!$P$32:$U$32</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yVal>
          <c:smooth val="0"/>
          <c:extLst>
            <c:ext xmlns:c16="http://schemas.microsoft.com/office/drawing/2014/chart" uri="{C3380CC4-5D6E-409C-BE32-E72D297353CC}">
              <c16:uniqueId val="{00000004-80A8-41AA-AB43-9E7EB2B6DE92}"/>
            </c:ext>
          </c:extLst>
        </c:ser>
        <c:dLbls>
          <c:showLegendKey val="0"/>
          <c:showVal val="0"/>
          <c:showCatName val="0"/>
          <c:showSerName val="0"/>
          <c:showPercent val="0"/>
          <c:showBubbleSize val="0"/>
        </c:dLbls>
        <c:axId val="122989952"/>
        <c:axId val="123004416"/>
      </c:scatterChart>
      <c:valAx>
        <c:axId val="122989952"/>
        <c:scaling>
          <c:orientation val="minMax"/>
        </c:scaling>
        <c:delete val="0"/>
        <c:axPos val="b"/>
        <c:title>
          <c:tx>
            <c:rich>
              <a:bodyPr/>
              <a:lstStyle/>
              <a:p>
                <a:pPr>
                  <a:defRPr/>
                </a:pPr>
                <a:r>
                  <a:rPr lang="en-CA"/>
                  <a:t>Time (h)</a:t>
                </a:r>
              </a:p>
            </c:rich>
          </c:tx>
          <c:overlay val="0"/>
        </c:title>
        <c:numFmt formatCode="General" sourceLinked="1"/>
        <c:majorTickMark val="out"/>
        <c:minorTickMark val="none"/>
        <c:tickLblPos val="nextTo"/>
        <c:crossAx val="123004416"/>
        <c:crosses val="autoZero"/>
        <c:crossBetween val="midCat"/>
      </c:valAx>
      <c:valAx>
        <c:axId val="123004416"/>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2989952"/>
        <c:crosses val="autoZero"/>
        <c:crossBetween val="midCat"/>
      </c:valAx>
    </c:plotArea>
    <c:legend>
      <c:legendPos val="r"/>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'DC2'!$O$79</c:f>
              <c:strCache>
                <c:ptCount val="1"/>
                <c:pt idx="0">
                  <c:v>t4</c:v>
                </c:pt>
              </c:strCache>
            </c:strRef>
          </c:tx>
          <c:invertIfNegative val="0"/>
          <c:cat>
            <c:strRef>
              <c:f>'DC2'!$N$80:$N$83</c:f>
              <c:strCache>
                <c:ptCount val="4"/>
                <c:pt idx="0">
                  <c:v>1a</c:v>
                </c:pt>
                <c:pt idx="1">
                  <c:v>2a</c:v>
                </c:pt>
                <c:pt idx="2">
                  <c:v>3a</c:v>
                </c:pt>
                <c:pt idx="3">
                  <c:v>4a</c:v>
                </c:pt>
              </c:strCache>
            </c:strRef>
          </c:cat>
          <c:val>
            <c:numRef>
              <c:f>'DC2'!$O$80:$O$83</c:f>
              <c:numCache>
                <c:formatCode>0.00</c:formatCode>
                <c:ptCount val="4"/>
                <c:pt idx="0">
                  <c:v>49.435082872928177</c:v>
                </c:pt>
                <c:pt idx="1">
                  <c:v>30.150552486187845</c:v>
                </c:pt>
                <c:pt idx="2">
                  <c:v>13.959944751381213</c:v>
                </c:pt>
                <c:pt idx="3">
                  <c:v>6.3397790055248615</c:v>
                </c:pt>
              </c:numCache>
            </c:numRef>
          </c:val>
          <c:extLst>
            <c:ext xmlns:c16="http://schemas.microsoft.com/office/drawing/2014/chart" uri="{C3380CC4-5D6E-409C-BE32-E72D297353CC}">
              <c16:uniqueId val="{00000000-B146-4489-8791-98A10C256126}"/>
            </c:ext>
          </c:extLst>
        </c:ser>
        <c:ser>
          <c:idx val="1"/>
          <c:order val="1"/>
          <c:tx>
            <c:strRef>
              <c:f>'DC2'!$P$79</c:f>
              <c:strCache>
                <c:ptCount val="1"/>
                <c:pt idx="0">
                  <c:v>t5</c:v>
                </c:pt>
              </c:strCache>
            </c:strRef>
          </c:tx>
          <c:invertIfNegative val="0"/>
          <c:cat>
            <c:strRef>
              <c:f>'DC2'!$N$80:$N$83</c:f>
              <c:strCache>
                <c:ptCount val="4"/>
                <c:pt idx="0">
                  <c:v>1a</c:v>
                </c:pt>
                <c:pt idx="1">
                  <c:v>2a</c:v>
                </c:pt>
                <c:pt idx="2">
                  <c:v>3a</c:v>
                </c:pt>
                <c:pt idx="3">
                  <c:v>4a</c:v>
                </c:pt>
              </c:strCache>
            </c:strRef>
          </c:cat>
          <c:val>
            <c:numRef>
              <c:f>'DC2'!$P$80:$P$83</c:f>
              <c:numCache>
                <c:formatCode>0.00</c:formatCode>
                <c:ptCount val="4"/>
                <c:pt idx="0">
                  <c:v>51.164345403899716</c:v>
                </c:pt>
                <c:pt idx="1">
                  <c:v>26.185236768802227</c:v>
                </c:pt>
                <c:pt idx="2">
                  <c:v>18.863509749303621</c:v>
                </c:pt>
                <c:pt idx="3">
                  <c:v>7.5598885793871853</c:v>
                </c:pt>
              </c:numCache>
            </c:numRef>
          </c:val>
          <c:extLst>
            <c:ext xmlns:c16="http://schemas.microsoft.com/office/drawing/2014/chart" uri="{C3380CC4-5D6E-409C-BE32-E72D297353CC}">
              <c16:uniqueId val="{00000001-B146-4489-8791-98A10C256126}"/>
            </c:ext>
          </c:extLst>
        </c:ser>
        <c:ser>
          <c:idx val="2"/>
          <c:order val="2"/>
          <c:tx>
            <c:strRef>
              <c:f>'DC2'!$Q$79</c:f>
              <c:strCache>
                <c:ptCount val="1"/>
                <c:pt idx="0">
                  <c:v> -P</c:v>
                </c:pt>
              </c:strCache>
            </c:strRef>
          </c:tx>
          <c:invertIfNegative val="0"/>
          <c:cat>
            <c:strRef>
              <c:f>'DC2'!$N$80:$N$83</c:f>
              <c:strCache>
                <c:ptCount val="4"/>
                <c:pt idx="0">
                  <c:v>1a</c:v>
                </c:pt>
                <c:pt idx="1">
                  <c:v>2a</c:v>
                </c:pt>
                <c:pt idx="2">
                  <c:v>3a</c:v>
                </c:pt>
                <c:pt idx="3">
                  <c:v>4a</c:v>
                </c:pt>
              </c:strCache>
            </c:strRef>
          </c:cat>
          <c:val>
            <c:numRef>
              <c:f>'DC2'!$Q$80:$Q$83</c:f>
              <c:numCache>
                <c:formatCode>0.00</c:formatCode>
                <c:ptCount val="4"/>
                <c:pt idx="0">
                  <c:v>48.923398328690809</c:v>
                </c:pt>
                <c:pt idx="1">
                  <c:v>28.31197771587744</c:v>
                </c:pt>
                <c:pt idx="2">
                  <c:v>13.93593314763231</c:v>
                </c:pt>
                <c:pt idx="3">
                  <c:v>6.1337047353760443</c:v>
                </c:pt>
              </c:numCache>
            </c:numRef>
          </c:val>
          <c:extLst>
            <c:ext xmlns:c16="http://schemas.microsoft.com/office/drawing/2014/chart" uri="{C3380CC4-5D6E-409C-BE32-E72D297353CC}">
              <c16:uniqueId val="{00000002-B146-4489-8791-98A10C256126}"/>
            </c:ext>
          </c:extLst>
        </c:ser>
        <c:ser>
          <c:idx val="3"/>
          <c:order val="3"/>
          <c:tx>
            <c:strRef>
              <c:f>'DC2'!$R$79</c:f>
              <c:strCache>
                <c:ptCount val="1"/>
                <c:pt idx="0">
                  <c:v> +P</c:v>
                </c:pt>
              </c:strCache>
            </c:strRef>
          </c:tx>
          <c:invertIfNegative val="0"/>
          <c:cat>
            <c:strRef>
              <c:f>'DC2'!$N$80:$N$83</c:f>
              <c:strCache>
                <c:ptCount val="4"/>
                <c:pt idx="0">
                  <c:v>1a</c:v>
                </c:pt>
                <c:pt idx="1">
                  <c:v>2a</c:v>
                </c:pt>
                <c:pt idx="2">
                  <c:v>3a</c:v>
                </c:pt>
                <c:pt idx="3">
                  <c:v>4a</c:v>
                </c:pt>
              </c:strCache>
            </c:strRef>
          </c:cat>
          <c:val>
            <c:numRef>
              <c:f>'DC2'!$R$80:$R$83</c:f>
              <c:numCache>
                <c:formatCode>0.00</c:formatCode>
                <c:ptCount val="4"/>
                <c:pt idx="0">
                  <c:v>51.573816155988851</c:v>
                </c:pt>
                <c:pt idx="1">
                  <c:v>29.53621169916434</c:v>
                </c:pt>
                <c:pt idx="2">
                  <c:v>13.958217270194986</c:v>
                </c:pt>
                <c:pt idx="3">
                  <c:v>5.9930362116991649</c:v>
                </c:pt>
              </c:numCache>
            </c:numRef>
          </c:val>
          <c:extLst>
            <c:ext xmlns:c16="http://schemas.microsoft.com/office/drawing/2014/chart" uri="{C3380CC4-5D6E-409C-BE32-E72D297353CC}">
              <c16:uniqueId val="{00000003-B146-4489-8791-98A10C256126}"/>
            </c:ext>
          </c:extLst>
        </c:ser>
        <c:dLbls>
          <c:showLegendKey val="0"/>
          <c:showVal val="0"/>
          <c:showCatName val="0"/>
          <c:showSerName val="0"/>
          <c:showPercent val="0"/>
          <c:showBubbleSize val="0"/>
        </c:dLbls>
        <c:gapWidth val="150"/>
        <c:axId val="85691008"/>
        <c:axId val="85692800"/>
      </c:barChart>
      <c:catAx>
        <c:axId val="85691008"/>
        <c:scaling>
          <c:orientation val="minMax"/>
        </c:scaling>
        <c:delete val="0"/>
        <c:axPos val="b"/>
        <c:numFmt formatCode="General" sourceLinked="0"/>
        <c:majorTickMark val="out"/>
        <c:minorTickMark val="none"/>
        <c:tickLblPos val="nextTo"/>
        <c:crossAx val="85692800"/>
        <c:crosses val="autoZero"/>
        <c:auto val="1"/>
        <c:lblAlgn val="ctr"/>
        <c:lblOffset val="100"/>
        <c:noMultiLvlLbl val="0"/>
      </c:catAx>
      <c:valAx>
        <c:axId val="85692800"/>
        <c:scaling>
          <c:orientation val="minMax"/>
        </c:scaling>
        <c:delete val="0"/>
        <c:axPos val="l"/>
        <c:numFmt formatCode="0.00" sourceLinked="1"/>
        <c:majorTickMark val="out"/>
        <c:minorTickMark val="none"/>
        <c:tickLblPos val="nextTo"/>
        <c:crossAx val="856910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0"/>
          <c:order val="0"/>
          <c:tx>
            <c:strRef>
              <c:f>'NH4'!$O$28</c:f>
              <c:strCache>
                <c:ptCount val="1"/>
                <c:pt idx="0">
                  <c:v>Syn+Bac+lysate</c:v>
                </c:pt>
              </c:strCache>
            </c:strRef>
          </c:tx>
          <c:spPr>
            <a:ln w="28575">
              <a:solidFill>
                <a:sysClr val="windowText" lastClr="000000"/>
              </a:solidFill>
            </a:ln>
          </c:spPr>
          <c:marker>
            <c:symbol val="none"/>
          </c:marker>
          <c:errBars>
            <c:errDir val="y"/>
            <c:errBarType val="both"/>
            <c:errValType val="cust"/>
            <c:noEndCap val="0"/>
            <c:pl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0-6023-4EA3-BA85-18B96290B5AD}"/>
            </c:ext>
          </c:extLst>
        </c:ser>
        <c:ser>
          <c:idx val="5"/>
          <c:order val="1"/>
          <c:tx>
            <c:strRef>
              <c:f>'NH4'!$O$33</c:f>
              <c:strCache>
                <c:ptCount val="1"/>
                <c:pt idx="0">
                  <c:v>Bac+lysate</c:v>
                </c:pt>
              </c:strCache>
            </c:strRef>
          </c:tx>
          <c:spPr>
            <a:ln w="28575">
              <a:solidFill>
                <a:sysClr val="windowText" lastClr="000000"/>
              </a:solidFill>
              <a:prstDash val="sysDot"/>
            </a:ln>
          </c:spPr>
          <c:marker>
            <c:symbol val="none"/>
          </c:marker>
          <c:errBars>
            <c:errDir val="y"/>
            <c:errBarType val="both"/>
            <c:errValType val="cust"/>
            <c:noEndCap val="0"/>
            <c:pl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1-6023-4EA3-BA85-18B96290B5AD}"/>
            </c:ext>
          </c:extLst>
        </c:ser>
        <c:dLbls>
          <c:showLegendKey val="0"/>
          <c:showVal val="0"/>
          <c:showCatName val="0"/>
          <c:showSerName val="0"/>
          <c:showPercent val="0"/>
          <c:showBubbleSize val="0"/>
        </c:dLbls>
        <c:axId val="123043200"/>
        <c:axId val="123057664"/>
      </c:scatterChart>
      <c:valAx>
        <c:axId val="123043200"/>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3057664"/>
        <c:crosses val="autoZero"/>
        <c:crossBetween val="midCat"/>
      </c:valAx>
      <c:valAx>
        <c:axId val="123057664"/>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3043200"/>
        <c:crosses val="autoZero"/>
        <c:crossBetween val="midCat"/>
      </c:valAx>
    </c:plotArea>
    <c:legend>
      <c:legendPos val="r"/>
      <c:layout>
        <c:manualLayout>
          <c:xMode val="edge"/>
          <c:yMode val="edge"/>
          <c:x val="0.66704111986001746"/>
          <c:y val="0.4732038929916369"/>
          <c:w val="0.31629221347331582"/>
          <c:h val="0.2275052574949870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1"/>
          <c:order val="0"/>
          <c:tx>
            <c:strRef>
              <c:f>'NH4'!$O$29</c:f>
              <c:strCache>
                <c:ptCount val="1"/>
                <c:pt idx="0">
                  <c:v>Syn+Bac</c:v>
                </c:pt>
              </c:strCache>
            </c:strRef>
          </c:tx>
          <c:spPr>
            <a:ln w="28575">
              <a:solidFill>
                <a:schemeClr val="bg1">
                  <a:lumMod val="50000"/>
                </a:schemeClr>
              </a:solidFill>
            </a:ln>
          </c:spPr>
          <c:marker>
            <c:symbol val="none"/>
          </c:marker>
          <c:errBars>
            <c:errDir val="y"/>
            <c:errBarType val="both"/>
            <c:errValType val="cust"/>
            <c:noEndCap val="0"/>
            <c:pl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0-D4AE-4A12-B893-9D5F82E7BB80}"/>
            </c:ext>
          </c:extLst>
        </c:ser>
        <c:ser>
          <c:idx val="3"/>
          <c:order val="1"/>
          <c:tx>
            <c:strRef>
              <c:f>'NH4'!$O$31</c:f>
              <c:strCache>
                <c:ptCount val="1"/>
                <c:pt idx="0">
                  <c:v>Syn</c:v>
                </c:pt>
              </c:strCache>
            </c:strRef>
          </c:tx>
          <c:spPr>
            <a:ln w="28575">
              <a:solidFill>
                <a:schemeClr val="bg1">
                  <a:lumMod val="50000"/>
                </a:schemeClr>
              </a:solidFill>
              <a:prstDash val="sysDash"/>
            </a:ln>
          </c:spPr>
          <c:marker>
            <c:symbol val="none"/>
          </c:marker>
          <c:errBars>
            <c:errDir val="y"/>
            <c:errBarType val="both"/>
            <c:errValType val="cust"/>
            <c:noEndCap val="0"/>
            <c:pl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plus>
            <c:min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'NH4'!$P$31:$U$31</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yVal>
          <c:smooth val="0"/>
          <c:extLst>
            <c:ext xmlns:c16="http://schemas.microsoft.com/office/drawing/2014/chart" uri="{C3380CC4-5D6E-409C-BE32-E72D297353CC}">
              <c16:uniqueId val="{00000001-D4AE-4A12-B893-9D5F82E7BB80}"/>
            </c:ext>
          </c:extLst>
        </c:ser>
        <c:ser>
          <c:idx val="4"/>
          <c:order val="2"/>
          <c:tx>
            <c:strRef>
              <c:f>'NH4'!$O$32</c:f>
              <c:strCache>
                <c:ptCount val="1"/>
                <c:pt idx="0">
                  <c:v>Bac</c:v>
                </c:pt>
              </c:strCache>
            </c:strRef>
          </c:tx>
          <c:spPr>
            <a:ln w="28575">
              <a:solidFill>
                <a:schemeClr val="bg1">
                  <a:lumMod val="50000"/>
                </a:schemeClr>
              </a:solidFill>
              <a:prstDash val="sysDot"/>
            </a:ln>
          </c:spPr>
          <c:marker>
            <c:symbol val="none"/>
          </c:marker>
          <c:errBars>
            <c:errDir val="y"/>
            <c:errBarType val="both"/>
            <c:errValType val="cust"/>
            <c:noEndCap val="0"/>
            <c:pl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plus>
            <c:min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'NH4'!$P$32:$U$32</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yVal>
          <c:smooth val="0"/>
          <c:extLst>
            <c:ext xmlns:c16="http://schemas.microsoft.com/office/drawing/2014/chart" uri="{C3380CC4-5D6E-409C-BE32-E72D297353CC}">
              <c16:uniqueId val="{00000002-D4AE-4A12-B893-9D5F82E7BB80}"/>
            </c:ext>
          </c:extLst>
        </c:ser>
        <c:dLbls>
          <c:showLegendKey val="0"/>
          <c:showVal val="0"/>
          <c:showCatName val="0"/>
          <c:showSerName val="0"/>
          <c:showPercent val="0"/>
          <c:showBubbleSize val="0"/>
        </c:dLbls>
        <c:axId val="122642816"/>
        <c:axId val="122644736"/>
      </c:scatterChart>
      <c:valAx>
        <c:axId val="122642816"/>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2644736"/>
        <c:crosses val="autoZero"/>
        <c:crossBetween val="midCat"/>
      </c:valAx>
      <c:valAx>
        <c:axId val="122644736"/>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2642816"/>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4"/>
          <c:order val="0"/>
          <c:tx>
            <c:strRef>
              <c:f>'NH4'!$O$32</c:f>
              <c:strCache>
                <c:ptCount val="1"/>
                <c:pt idx="0">
                  <c:v>Bac</c:v>
                </c:pt>
              </c:strCache>
            </c:strRef>
          </c:tx>
          <c:spPr>
            <a:ln w="28575">
              <a:solidFill>
                <a:schemeClr val="bg1">
                  <a:lumMod val="50000"/>
                </a:schemeClr>
              </a:solidFill>
              <a:prstDash val="sysDot"/>
            </a:ln>
          </c:spPr>
          <c:marker>
            <c:symbol val="none"/>
          </c:marker>
          <c:errBars>
            <c:errDir val="y"/>
            <c:errBarType val="both"/>
            <c:errValType val="cust"/>
            <c:noEndCap val="0"/>
            <c:pl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plus>
            <c:minus>
              <c:numRef>
                <c:f>'NH4'!$X$32:$AC$32</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'NH4'!$P$32:$U$32</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yVal>
          <c:smooth val="0"/>
          <c:extLst>
            <c:ext xmlns:c16="http://schemas.microsoft.com/office/drawing/2014/chart" uri="{C3380CC4-5D6E-409C-BE32-E72D297353CC}">
              <c16:uniqueId val="{00000000-56D7-429C-934C-0C6ADDA5267B}"/>
            </c:ext>
          </c:extLst>
        </c:ser>
        <c:ser>
          <c:idx val="5"/>
          <c:order val="1"/>
          <c:tx>
            <c:strRef>
              <c:f>'NH4'!$O$33</c:f>
              <c:strCache>
                <c:ptCount val="1"/>
                <c:pt idx="0">
                  <c:v>Bac+lysate</c:v>
                </c:pt>
              </c:strCache>
            </c:strRef>
          </c:tx>
          <c:spPr>
            <a:ln w="28575">
              <a:solidFill>
                <a:sysClr val="windowText" lastClr="000000"/>
              </a:solidFill>
              <a:prstDash val="sysDot"/>
            </a:ln>
          </c:spPr>
          <c:marker>
            <c:symbol val="none"/>
          </c:marker>
          <c:errBars>
            <c:errDir val="y"/>
            <c:errBarType val="both"/>
            <c:errValType val="cust"/>
            <c:noEndCap val="0"/>
            <c:pl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1-56D7-429C-934C-0C6ADDA5267B}"/>
            </c:ext>
          </c:extLst>
        </c:ser>
        <c:dLbls>
          <c:showLegendKey val="0"/>
          <c:showVal val="0"/>
          <c:showCatName val="0"/>
          <c:showSerName val="0"/>
          <c:showPercent val="0"/>
          <c:showBubbleSize val="0"/>
        </c:dLbls>
        <c:axId val="122670464"/>
        <c:axId val="122762752"/>
      </c:scatterChart>
      <c:valAx>
        <c:axId val="122670464"/>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2762752"/>
        <c:crosses val="autoZero"/>
        <c:crossBetween val="midCat"/>
      </c:valAx>
      <c:valAx>
        <c:axId val="122762752"/>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2670464"/>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2"/>
          <c:order val="0"/>
          <c:tx>
            <c:strRef>
              <c:f>'NH4'!$O$30</c:f>
              <c:strCache>
                <c:ptCount val="1"/>
                <c:pt idx="0">
                  <c:v>Syn+lysate</c:v>
                </c:pt>
              </c:strCache>
            </c:strRef>
          </c:tx>
          <c:spPr>
            <a:ln w="28575">
              <a:solidFill>
                <a:sysClr val="windowText" lastClr="000000"/>
              </a:solidFill>
              <a:prstDash val="sysDash"/>
            </a:ln>
          </c:spPr>
          <c:marker>
            <c:symbol val="none"/>
          </c:marker>
          <c:errBars>
            <c:errDir val="y"/>
            <c:errBarType val="both"/>
            <c:errValType val="cust"/>
            <c:noEndCap val="0"/>
            <c:pl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0-B4BC-4FB8-8515-A20EC2603683}"/>
            </c:ext>
          </c:extLst>
        </c:ser>
        <c:ser>
          <c:idx val="3"/>
          <c:order val="1"/>
          <c:tx>
            <c:strRef>
              <c:f>'NH4'!$O$31</c:f>
              <c:strCache>
                <c:ptCount val="1"/>
                <c:pt idx="0">
                  <c:v>Syn</c:v>
                </c:pt>
              </c:strCache>
            </c:strRef>
          </c:tx>
          <c:spPr>
            <a:ln w="28575">
              <a:solidFill>
                <a:schemeClr val="bg1">
                  <a:lumMod val="50000"/>
                </a:schemeClr>
              </a:solidFill>
              <a:prstDash val="sysDash"/>
            </a:ln>
          </c:spPr>
          <c:marker>
            <c:symbol val="none"/>
          </c:marker>
          <c:errBars>
            <c:errDir val="y"/>
            <c:errBarType val="both"/>
            <c:errValType val="cust"/>
            <c:noEndCap val="0"/>
            <c:pl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plus>
            <c:minus>
              <c:numRef>
                <c:f>'NH4'!$X$31:$AC$31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'NH4'!$P$31:$U$31</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yVal>
          <c:smooth val="0"/>
          <c:extLst>
            <c:ext xmlns:c16="http://schemas.microsoft.com/office/drawing/2014/chart" uri="{C3380CC4-5D6E-409C-BE32-E72D297353CC}">
              <c16:uniqueId val="{00000001-B4BC-4FB8-8515-A20EC2603683}"/>
            </c:ext>
          </c:extLst>
        </c:ser>
        <c:dLbls>
          <c:showLegendKey val="0"/>
          <c:showVal val="0"/>
          <c:showCatName val="0"/>
          <c:showSerName val="0"/>
          <c:showPercent val="0"/>
          <c:showBubbleSize val="0"/>
        </c:dLbls>
        <c:axId val="122784768"/>
        <c:axId val="122791040"/>
      </c:scatterChart>
      <c:valAx>
        <c:axId val="122784768"/>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2791040"/>
        <c:crosses val="autoZero"/>
        <c:crossBetween val="midCat"/>
      </c:valAx>
      <c:valAx>
        <c:axId val="122791040"/>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2784768"/>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0"/>
          <c:order val="0"/>
          <c:tx>
            <c:strRef>
              <c:f>'NH4'!$O$28</c:f>
              <c:strCache>
                <c:ptCount val="1"/>
                <c:pt idx="0">
                  <c:v>Syn+Bac+lysate</c:v>
                </c:pt>
              </c:strCache>
            </c:strRef>
          </c:tx>
          <c:spPr>
            <a:ln w="28575">
              <a:solidFill>
                <a:sysClr val="windowText" lastClr="000000"/>
              </a:solidFill>
            </a:ln>
          </c:spPr>
          <c:marker>
            <c:symbol val="none"/>
          </c:marker>
          <c:errBars>
            <c:errDir val="y"/>
            <c:errBarType val="both"/>
            <c:errValType val="cust"/>
            <c:noEndCap val="0"/>
            <c:pl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0-4A7C-486E-93CE-F006277E073B}"/>
            </c:ext>
          </c:extLst>
        </c:ser>
        <c:ser>
          <c:idx val="1"/>
          <c:order val="1"/>
          <c:tx>
            <c:strRef>
              <c:f>'NH4'!$O$29</c:f>
              <c:strCache>
                <c:ptCount val="1"/>
                <c:pt idx="0">
                  <c:v>Syn+Bac</c:v>
                </c:pt>
              </c:strCache>
            </c:strRef>
          </c:tx>
          <c:spPr>
            <a:ln w="28575">
              <a:solidFill>
                <a:schemeClr val="bg1">
                  <a:lumMod val="50000"/>
                </a:schemeClr>
              </a:solidFill>
            </a:ln>
          </c:spPr>
          <c:marker>
            <c:symbol val="none"/>
          </c:marker>
          <c:errBars>
            <c:errDir val="y"/>
            <c:errBarType val="both"/>
            <c:errValType val="cust"/>
            <c:noEndCap val="0"/>
            <c:pl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1-4A7C-486E-93CE-F006277E073B}"/>
            </c:ext>
          </c:extLst>
        </c:ser>
        <c:ser>
          <c:idx val="2"/>
          <c:order val="2"/>
          <c:tx>
            <c:strRef>
              <c:f>'NH4'!$O$30</c:f>
              <c:strCache>
                <c:ptCount val="1"/>
                <c:pt idx="0">
                  <c:v>Syn+lysate</c:v>
                </c:pt>
              </c:strCache>
            </c:strRef>
          </c:tx>
          <c:spPr>
            <a:ln w="28575">
              <a:solidFill>
                <a:sysClr val="windowText" lastClr="000000"/>
              </a:solidFill>
              <a:prstDash val="sysDash"/>
            </a:ln>
          </c:spPr>
          <c:marker>
            <c:symbol val="none"/>
          </c:marker>
          <c:errBars>
            <c:errDir val="y"/>
            <c:errBarType val="both"/>
            <c:errValType val="cust"/>
            <c:noEndCap val="0"/>
            <c:pl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2-4A7C-486E-93CE-F006277E073B}"/>
            </c:ext>
          </c:extLst>
        </c:ser>
        <c:ser>
          <c:idx val="5"/>
          <c:order val="3"/>
          <c:tx>
            <c:strRef>
              <c:f>'NH4'!$O$33</c:f>
              <c:strCache>
                <c:ptCount val="1"/>
                <c:pt idx="0">
                  <c:v>Bac+lysate</c:v>
                </c:pt>
              </c:strCache>
            </c:strRef>
          </c:tx>
          <c:spPr>
            <a:ln w="28575">
              <a:solidFill>
                <a:sysClr val="windowText" lastClr="000000"/>
              </a:solidFill>
              <a:prstDash val="sysDot"/>
            </a:ln>
          </c:spPr>
          <c:marker>
            <c:symbol val="none"/>
          </c:marker>
          <c:errBars>
            <c:errDir val="y"/>
            <c:errBarType val="both"/>
            <c:errValType val="cust"/>
            <c:noEndCap val="0"/>
            <c:pl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3-4A7C-486E-93CE-F006277E073B}"/>
            </c:ext>
          </c:extLst>
        </c:ser>
        <c:dLbls>
          <c:showLegendKey val="0"/>
          <c:showVal val="0"/>
          <c:showCatName val="0"/>
          <c:showSerName val="0"/>
          <c:showPercent val="0"/>
          <c:showBubbleSize val="0"/>
        </c:dLbls>
        <c:axId val="123368576"/>
        <c:axId val="123370496"/>
      </c:scatterChart>
      <c:valAx>
        <c:axId val="123368576"/>
        <c:scaling>
          <c:orientation val="minMax"/>
        </c:scaling>
        <c:delete val="0"/>
        <c:axPos val="b"/>
        <c:title>
          <c:tx>
            <c:rich>
              <a:bodyPr/>
              <a:lstStyle/>
              <a:p>
                <a:pPr>
                  <a:defRPr b="1"/>
                </a:pPr>
                <a:r>
                  <a:rPr lang="en-CA" b="1"/>
                  <a:t>Time (d)</a:t>
                </a:r>
              </a:p>
            </c:rich>
          </c:tx>
          <c:overlay val="0"/>
        </c:title>
        <c:numFmt formatCode="General" sourceLinked="1"/>
        <c:majorTickMark val="out"/>
        <c:minorTickMark val="none"/>
        <c:tickLblPos val="nextTo"/>
        <c:crossAx val="123370496"/>
        <c:crosses val="autoZero"/>
        <c:crossBetween val="midCat"/>
      </c:valAx>
      <c:valAx>
        <c:axId val="123370496"/>
        <c:scaling>
          <c:orientation val="minMax"/>
          <c:min val="0"/>
        </c:scaling>
        <c:delete val="0"/>
        <c:axPos val="l"/>
        <c:title>
          <c:tx>
            <c:rich>
              <a:bodyPr rot="-5400000" vert="horz"/>
              <a:lstStyle/>
              <a:p>
                <a:pPr>
                  <a:defRPr/>
                </a:pPr>
                <a:r>
                  <a:rPr lang="en-CA"/>
                  <a:t>Ammonium (µmol l</a:t>
                </a:r>
                <a:r>
                  <a:rPr lang="en-CA" baseline="30000"/>
                  <a:t>-1</a:t>
                </a:r>
                <a:r>
                  <a:rPr lang="en-CA"/>
                  <a:t>)</a:t>
                </a:r>
              </a:p>
            </c:rich>
          </c:tx>
          <c:overlay val="0"/>
        </c:title>
        <c:numFmt formatCode="General" sourceLinked="1"/>
        <c:majorTickMark val="out"/>
        <c:minorTickMark val="none"/>
        <c:tickLblPos val="nextTo"/>
        <c:crossAx val="123368576"/>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41666666666668"/>
          <c:y val="5.3912219305920092E-2"/>
          <c:w val="0.82673556430446193"/>
          <c:h val="0.71590259550889468"/>
        </c:manualLayout>
      </c:layout>
      <c:scatterChart>
        <c:scatterStyle val="lineMarker"/>
        <c:varyColors val="0"/>
        <c:ser>
          <c:idx val="0"/>
          <c:order val="0"/>
          <c:tx>
            <c:strRef>
              <c:f>'NH4'!$O$28</c:f>
              <c:strCache>
                <c:ptCount val="1"/>
                <c:pt idx="0">
                  <c:v>Syn+Bac+lysate</c:v>
                </c:pt>
              </c:strCache>
            </c:strRef>
          </c:tx>
          <c:spPr>
            <a:ln w="28575">
              <a:solidFill>
                <a:sysClr val="windowText" lastClr="000000"/>
              </a:solidFill>
            </a:ln>
          </c:spPr>
          <c:marker>
            <c:symbol val="none"/>
          </c:marker>
          <c:errBars>
            <c:errDir val="y"/>
            <c:errBarType val="both"/>
            <c:errValType val="cust"/>
            <c:noEndCap val="0"/>
            <c:pl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'NH4'!$X$28:$AC$28</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'NH4'!$P$28:$U$28</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0-0AD1-40FE-8F42-F529B17E528D}"/>
            </c:ext>
          </c:extLst>
        </c:ser>
        <c:ser>
          <c:idx val="1"/>
          <c:order val="1"/>
          <c:tx>
            <c:strRef>
              <c:f>'NH4'!$O$29</c:f>
              <c:strCache>
                <c:ptCount val="1"/>
                <c:pt idx="0">
                  <c:v>Syn+Bac</c:v>
                </c:pt>
              </c:strCache>
            </c:strRef>
          </c:tx>
          <c:spPr>
            <a:ln w="28575">
              <a:solidFill>
                <a:schemeClr val="bg1">
                  <a:lumMod val="50000"/>
                </a:schemeClr>
              </a:solidFill>
            </a:ln>
          </c:spPr>
          <c:marker>
            <c:symbol val="none"/>
          </c:marker>
          <c:errBars>
            <c:errDir val="y"/>
            <c:errBarType val="both"/>
            <c:errValType val="cust"/>
            <c:noEndCap val="0"/>
            <c:pl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'NH4'!$X$29:$AC$29</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'NH4'!$P$29:$U$29</c:f>
              <c:numCache>
                <c:formatCode>General</c:formatCode>
                <c:ptCount val="6"/>
                <c:pt idx="0">
                  <c:v>0.24547361033706935</c:v>
                </c:pt>
                <c:pt idx="1">
                  <c:v>-4.6654277350629677E-3</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1-0AD1-40FE-8F42-F529B17E528D}"/>
            </c:ext>
          </c:extLst>
        </c:ser>
        <c:ser>
          <c:idx val="2"/>
          <c:order val="2"/>
          <c:tx>
            <c:strRef>
              <c:f>'NH4'!$O$30</c:f>
              <c:strCache>
                <c:ptCount val="1"/>
                <c:pt idx="0">
                  <c:v>Syn+lysate</c:v>
                </c:pt>
              </c:strCache>
            </c:strRef>
          </c:tx>
          <c:spPr>
            <a:ln w="28575">
              <a:solidFill>
                <a:sysClr val="windowText" lastClr="000000"/>
              </a:solidFill>
              <a:prstDash val="sysDash"/>
            </a:ln>
          </c:spPr>
          <c:marker>
            <c:symbol val="none"/>
          </c:marker>
          <c:errBars>
            <c:errDir val="y"/>
            <c:errBarType val="both"/>
            <c:errValType val="cust"/>
            <c:noEndCap val="0"/>
            <c:pl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'NH4'!$X$30:$AC$30</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'NH4'!$P$30:$U$30</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2-0AD1-40FE-8F42-F529B17E528D}"/>
            </c:ext>
          </c:extLst>
        </c:ser>
        <c:ser>
          <c:idx val="5"/>
          <c:order val="3"/>
          <c:tx>
            <c:strRef>
              <c:f>'NH4'!$O$33</c:f>
              <c:strCache>
                <c:ptCount val="1"/>
                <c:pt idx="0">
                  <c:v>Bac+lysate</c:v>
                </c:pt>
              </c:strCache>
            </c:strRef>
          </c:tx>
          <c:spPr>
            <a:ln w="28575">
              <a:solidFill>
                <a:sysClr val="windowText" lastClr="000000"/>
              </a:solidFill>
              <a:prstDash val="sysDot"/>
            </a:ln>
          </c:spPr>
          <c:marker>
            <c:symbol val="none"/>
          </c:marker>
          <c:errBars>
            <c:errDir val="y"/>
            <c:errBarType val="both"/>
            <c:errValType val="cust"/>
            <c:noEndCap val="0"/>
            <c:pl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'NH4'!$X$33:$AC$33</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'NH4'!$P$27:$U$27</c:f>
              <c:numCache>
                <c:formatCode>General</c:formatCode>
                <c:ptCount val="6"/>
                <c:pt idx="0">
                  <c:v>0</c:v>
                </c:pt>
                <c:pt idx="1">
                  <c:v>1</c:v>
                </c:pt>
                <c:pt idx="2">
                  <c:v>2</c:v>
                </c:pt>
                <c:pt idx="3">
                  <c:v>3</c:v>
                </c:pt>
                <c:pt idx="4">
                  <c:v>4</c:v>
                </c:pt>
                <c:pt idx="5">
                  <c:v>5</c:v>
                </c:pt>
              </c:numCache>
            </c:numRef>
          </c:xVal>
          <c:yVal>
            <c:numRef>
              <c:f>'NH4'!$P$33:$U$33</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3-0AD1-40FE-8F42-F529B17E528D}"/>
            </c:ext>
          </c:extLst>
        </c:ser>
        <c:dLbls>
          <c:showLegendKey val="0"/>
          <c:showVal val="0"/>
          <c:showCatName val="0"/>
          <c:showSerName val="0"/>
          <c:showPercent val="0"/>
          <c:showBubbleSize val="0"/>
        </c:dLbls>
        <c:axId val="123411456"/>
        <c:axId val="123425920"/>
      </c:scatterChart>
      <c:valAx>
        <c:axId val="123411456"/>
        <c:scaling>
          <c:orientation val="minMax"/>
        </c:scaling>
        <c:delete val="0"/>
        <c:axPos val="b"/>
        <c:title>
          <c:tx>
            <c:rich>
              <a:bodyPr/>
              <a:lstStyle/>
              <a:p>
                <a:pPr>
                  <a:defRPr b="1"/>
                </a:pPr>
                <a:r>
                  <a:rPr lang="en-CA" b="1"/>
                  <a:t>Time (h)</a:t>
                </a:r>
              </a:p>
            </c:rich>
          </c:tx>
          <c:overlay val="0"/>
        </c:title>
        <c:numFmt formatCode="General" sourceLinked="1"/>
        <c:majorTickMark val="out"/>
        <c:minorTickMark val="none"/>
        <c:tickLblPos val="nextTo"/>
        <c:crossAx val="123425920"/>
        <c:crosses val="autoZero"/>
        <c:crossBetween val="midCat"/>
      </c:valAx>
      <c:valAx>
        <c:axId val="123425920"/>
        <c:scaling>
          <c:orientation val="minMax"/>
          <c:min val="0"/>
        </c:scaling>
        <c:delete val="0"/>
        <c:axPos val="l"/>
        <c:title>
          <c:tx>
            <c:rich>
              <a:bodyPr rot="-5400000" vert="horz"/>
              <a:lstStyle/>
              <a:p>
                <a:pPr>
                  <a:defRPr/>
                </a:pPr>
                <a:r>
                  <a:rPr lang="en-CA"/>
                  <a:t>Ammonium (µmol l-1)</a:t>
                </a:r>
              </a:p>
            </c:rich>
          </c:tx>
          <c:overlay val="0"/>
        </c:title>
        <c:numFmt formatCode="General" sourceLinked="1"/>
        <c:majorTickMark val="out"/>
        <c:minorTickMark val="none"/>
        <c:tickLblPos val="nextTo"/>
        <c:crossAx val="123411456"/>
        <c:crosses val="autoZero"/>
        <c:crossBetween val="midCat"/>
      </c:valAx>
    </c:plotArea>
    <c:legend>
      <c:legendPos val="r"/>
      <c:layout>
        <c:manualLayout>
          <c:xMode val="edge"/>
          <c:yMode val="edge"/>
          <c:x val="0.66704111986001746"/>
          <c:y val="0.2247566880226928"/>
          <c:w val="0.31629221347331582"/>
          <c:h val="0.47595246246393114"/>
        </c:manualLayout>
      </c:layout>
      <c:overlay val="0"/>
    </c:legend>
    <c:plotVisOnly val="1"/>
    <c:dispBlanksAs val="gap"/>
    <c:showDLblsOverMax val="0"/>
  </c:chart>
  <c:spPr>
    <a:ln>
      <a:noFill/>
    </a:ln>
  </c:spPr>
  <c:txPr>
    <a:bodyPr/>
    <a:lstStyle/>
    <a:p>
      <a:pPr>
        <a:defRPr sz="12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strRef>
              <c:f>NMassBalance!$B$12:$B$17</c:f>
              <c:strCache>
                <c:ptCount val="6"/>
                <c:pt idx="0">
                  <c:v>DC2+Bac+Lys</c:v>
                </c:pt>
                <c:pt idx="1">
                  <c:v>DC2+Bac</c:v>
                </c:pt>
                <c:pt idx="2">
                  <c:v>DC2+Lys</c:v>
                </c:pt>
                <c:pt idx="3">
                  <c:v>DC2</c:v>
                </c:pt>
                <c:pt idx="4">
                  <c:v>Bac</c:v>
                </c:pt>
                <c:pt idx="5">
                  <c:v>Bac+Lys</c:v>
                </c:pt>
              </c:strCache>
            </c:strRef>
          </c:cat>
          <c:val>
            <c:numRef>
              <c:f>NMassBalance!$H$12:$H$17</c:f>
              <c:numCache>
                <c:formatCode>General</c:formatCode>
                <c:ptCount val="6"/>
                <c:pt idx="0">
                  <c:v>35.457319586240629</c:v>
                </c:pt>
                <c:pt idx="1">
                  <c:v>16.810974397743166</c:v>
                </c:pt>
                <c:pt idx="2">
                  <c:v>9.2395360074952162</c:v>
                </c:pt>
                <c:pt idx="3">
                  <c:v>-0.76816568236790583</c:v>
                </c:pt>
                <c:pt idx="4">
                  <c:v>-0.25485502006933014</c:v>
                </c:pt>
                <c:pt idx="5">
                  <c:v>7.8979608983722756</c:v>
                </c:pt>
              </c:numCache>
            </c:numRef>
          </c:val>
          <c:extLst>
            <c:ext xmlns:c16="http://schemas.microsoft.com/office/drawing/2014/chart" uri="{C3380CC4-5D6E-409C-BE32-E72D297353CC}">
              <c16:uniqueId val="{00000000-2BF2-40A0-909D-452B30FD4185}"/>
            </c:ext>
          </c:extLst>
        </c:ser>
        <c:dLbls>
          <c:showLegendKey val="0"/>
          <c:showVal val="0"/>
          <c:showCatName val="0"/>
          <c:showSerName val="0"/>
          <c:showPercent val="0"/>
          <c:showBubbleSize val="0"/>
        </c:dLbls>
        <c:gapWidth val="150"/>
        <c:axId val="123326848"/>
        <c:axId val="123328384"/>
      </c:barChart>
      <c:catAx>
        <c:axId val="123326848"/>
        <c:scaling>
          <c:orientation val="minMax"/>
        </c:scaling>
        <c:delete val="0"/>
        <c:axPos val="b"/>
        <c:numFmt formatCode="General" sourceLinked="0"/>
        <c:majorTickMark val="out"/>
        <c:minorTickMark val="none"/>
        <c:tickLblPos val="nextTo"/>
        <c:crossAx val="123328384"/>
        <c:crosses val="autoZero"/>
        <c:auto val="1"/>
        <c:lblAlgn val="ctr"/>
        <c:lblOffset val="100"/>
        <c:noMultiLvlLbl val="0"/>
      </c:catAx>
      <c:valAx>
        <c:axId val="123328384"/>
        <c:scaling>
          <c:orientation val="minMax"/>
        </c:scaling>
        <c:delete val="0"/>
        <c:axPos val="l"/>
        <c:title>
          <c:tx>
            <c:rich>
              <a:bodyPr rot="-5400000" vert="horz"/>
              <a:lstStyle/>
              <a:p>
                <a:pPr>
                  <a:defRPr/>
                </a:pPr>
                <a:r>
                  <a:rPr lang="en-CA"/>
                  <a:t>Increase</a:t>
                </a:r>
                <a:r>
                  <a:rPr lang="en-CA" baseline="0"/>
                  <a:t> in Ammonium (</a:t>
                </a:r>
                <a:r>
                  <a:rPr lang="en-CA" baseline="0">
                    <a:latin typeface="+mn-lt"/>
                    <a:ea typeface="Verdana"/>
                    <a:cs typeface="Verdana"/>
                  </a:rPr>
                  <a:t>µ</a:t>
                </a:r>
                <a:r>
                  <a:rPr lang="en-CA" baseline="0"/>
                  <a:t>mol l</a:t>
                </a:r>
                <a:r>
                  <a:rPr lang="en-CA" baseline="30000"/>
                  <a:t>-1</a:t>
                </a:r>
                <a:r>
                  <a:rPr lang="en-CA" baseline="0"/>
                  <a:t>)</a:t>
                </a:r>
                <a:endParaRPr lang="en-CA"/>
              </a:p>
            </c:rich>
          </c:tx>
          <c:overlay val="0"/>
        </c:title>
        <c:numFmt formatCode="General" sourceLinked="1"/>
        <c:majorTickMark val="out"/>
        <c:minorTickMark val="none"/>
        <c:tickLblPos val="nextTo"/>
        <c:crossAx val="123326848"/>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NMassBalance!$G$22</c:f>
              <c:strCache>
                <c:ptCount val="1"/>
                <c:pt idx="0">
                  <c:v>DC2-N (DC2+Bac+Lys)</c:v>
                </c:pt>
              </c:strCache>
            </c:strRef>
          </c:tx>
          <c:invertIfNegative val="0"/>
          <c:val>
            <c:numRef>
              <c:f>NMassBalance!$G$23:$G$24</c:f>
              <c:numCache>
                <c:formatCode>General</c:formatCode>
                <c:ptCount val="2"/>
                <c:pt idx="0">
                  <c:v>35.457319586240629</c:v>
                </c:pt>
              </c:numCache>
            </c:numRef>
          </c:val>
          <c:extLst>
            <c:ext xmlns:c16="http://schemas.microsoft.com/office/drawing/2014/chart" uri="{C3380CC4-5D6E-409C-BE32-E72D297353CC}">
              <c16:uniqueId val="{00000000-DB59-4C47-A9E7-53A103FB5516}"/>
            </c:ext>
          </c:extLst>
        </c:ser>
        <c:ser>
          <c:idx val="1"/>
          <c:order val="1"/>
          <c:tx>
            <c:strRef>
              <c:f>NMassBalance!$H$22</c:f>
              <c:strCache>
                <c:ptCount val="1"/>
                <c:pt idx="0">
                  <c:v>DC2-N (NO3 in DC2+Bac)</c:v>
                </c:pt>
              </c:strCache>
            </c:strRef>
          </c:tx>
          <c:invertIfNegative val="0"/>
          <c:val>
            <c:numRef>
              <c:f>NMassBalance!$H$23:$H$24</c:f>
              <c:numCache>
                <c:formatCode>General</c:formatCode>
                <c:ptCount val="2"/>
                <c:pt idx="1">
                  <c:v>16.810974397743166</c:v>
                </c:pt>
              </c:numCache>
            </c:numRef>
          </c:val>
          <c:extLst>
            <c:ext xmlns:c16="http://schemas.microsoft.com/office/drawing/2014/chart" uri="{C3380CC4-5D6E-409C-BE32-E72D297353CC}">
              <c16:uniqueId val="{00000001-DB59-4C47-A9E7-53A103FB5516}"/>
            </c:ext>
          </c:extLst>
        </c:ser>
        <c:ser>
          <c:idx val="2"/>
          <c:order val="2"/>
          <c:tx>
            <c:strRef>
              <c:f>NMassBalance!$I$22</c:f>
              <c:strCache>
                <c:ptCount val="1"/>
                <c:pt idx="0">
                  <c:v>DC2-N (DC2+Lys)</c:v>
                </c:pt>
              </c:strCache>
            </c:strRef>
          </c:tx>
          <c:invertIfNegative val="0"/>
          <c:val>
            <c:numRef>
              <c:f>NMassBalance!$I$23:$I$24</c:f>
              <c:numCache>
                <c:formatCode>General</c:formatCode>
                <c:ptCount val="2"/>
                <c:pt idx="1">
                  <c:v>9.2395360074952162</c:v>
                </c:pt>
              </c:numCache>
            </c:numRef>
          </c:val>
          <c:extLst>
            <c:ext xmlns:c16="http://schemas.microsoft.com/office/drawing/2014/chart" uri="{C3380CC4-5D6E-409C-BE32-E72D297353CC}">
              <c16:uniqueId val="{00000002-DB59-4C47-A9E7-53A103FB5516}"/>
            </c:ext>
          </c:extLst>
        </c:ser>
        <c:ser>
          <c:idx val="3"/>
          <c:order val="3"/>
          <c:tx>
            <c:strRef>
              <c:f>NMassBalance!$J$22</c:f>
              <c:strCache>
                <c:ptCount val="1"/>
                <c:pt idx="0">
                  <c:v>Ammonium (Bac+Lys)</c:v>
                </c:pt>
              </c:strCache>
            </c:strRef>
          </c:tx>
          <c:invertIfNegative val="0"/>
          <c:val>
            <c:numRef>
              <c:f>NMassBalance!$J$23:$J$24</c:f>
              <c:numCache>
                <c:formatCode>General</c:formatCode>
                <c:ptCount val="2"/>
                <c:pt idx="1">
                  <c:v>7.8979608983722756</c:v>
                </c:pt>
              </c:numCache>
            </c:numRef>
          </c:val>
          <c:extLst>
            <c:ext xmlns:c16="http://schemas.microsoft.com/office/drawing/2014/chart" uri="{C3380CC4-5D6E-409C-BE32-E72D297353CC}">
              <c16:uniqueId val="{00000003-DB59-4C47-A9E7-53A103FB5516}"/>
            </c:ext>
          </c:extLst>
        </c:ser>
        <c:dLbls>
          <c:showLegendKey val="0"/>
          <c:showVal val="0"/>
          <c:showCatName val="0"/>
          <c:showSerName val="0"/>
          <c:showPercent val="0"/>
          <c:showBubbleSize val="0"/>
        </c:dLbls>
        <c:gapWidth val="150"/>
        <c:overlap val="100"/>
        <c:axId val="123817984"/>
        <c:axId val="123819520"/>
      </c:barChart>
      <c:catAx>
        <c:axId val="123817984"/>
        <c:scaling>
          <c:orientation val="minMax"/>
        </c:scaling>
        <c:delete val="0"/>
        <c:axPos val="b"/>
        <c:majorTickMark val="none"/>
        <c:minorTickMark val="none"/>
        <c:tickLblPos val="none"/>
        <c:crossAx val="123819520"/>
        <c:crosses val="autoZero"/>
        <c:auto val="1"/>
        <c:lblAlgn val="ctr"/>
        <c:lblOffset val="100"/>
        <c:noMultiLvlLbl val="0"/>
      </c:catAx>
      <c:valAx>
        <c:axId val="123819520"/>
        <c:scaling>
          <c:orientation val="minMax"/>
        </c:scaling>
        <c:delete val="0"/>
        <c:axPos val="l"/>
        <c:title>
          <c:tx>
            <c:rich>
              <a:bodyPr rot="-5400000" vert="horz"/>
              <a:lstStyle/>
              <a:p>
                <a:pPr>
                  <a:defRPr/>
                </a:pPr>
                <a:r>
                  <a:rPr lang="en-CA"/>
                  <a:t>Nitrogen (</a:t>
                </a:r>
                <a:r>
                  <a:rPr lang="en-CA">
                    <a:latin typeface="+mn-lt"/>
                    <a:ea typeface="Verdana"/>
                    <a:cs typeface="Verdana"/>
                  </a:rPr>
                  <a:t>µ</a:t>
                </a:r>
                <a:r>
                  <a:rPr lang="en-CA"/>
                  <a:t>mol l</a:t>
                </a:r>
                <a:r>
                  <a:rPr lang="en-CA" baseline="30000"/>
                  <a:t>-1</a:t>
                </a:r>
                <a:r>
                  <a:rPr lang="en-CA"/>
                  <a:t>)</a:t>
                </a:r>
              </a:p>
            </c:rich>
          </c:tx>
          <c:overlay val="0"/>
        </c:title>
        <c:numFmt formatCode="General" sourceLinked="1"/>
        <c:majorTickMark val="out"/>
        <c:minorTickMark val="none"/>
        <c:tickLblPos val="nextTo"/>
        <c:crossAx val="123817984"/>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bg1">
                <a:lumMod val="50000"/>
              </a:schemeClr>
            </a:solidFill>
          </c:spPr>
          <c:invertIfNegative val="0"/>
          <c:errBars>
            <c:errBarType val="both"/>
            <c:errValType val="cust"/>
            <c:noEndCap val="0"/>
            <c:plus>
              <c:numRef>
                <c:f>NMassBalance!$M$45:$M$50</c:f>
                <c:numCache>
                  <c:formatCode>General</c:formatCode>
                  <c:ptCount val="6"/>
                  <c:pt idx="0">
                    <c:v>2.1290277526005457</c:v>
                  </c:pt>
                  <c:pt idx="1">
                    <c:v>1.6756448418081689</c:v>
                  </c:pt>
                  <c:pt idx="2">
                    <c:v>0.76784340118669203</c:v>
                  </c:pt>
                  <c:pt idx="3">
                    <c:v>0.42712741832457252</c:v>
                  </c:pt>
                  <c:pt idx="4">
                    <c:v>5.5650776336146041E-2</c:v>
                  </c:pt>
                  <c:pt idx="5">
                    <c:v>5.7756314071508157E-2</c:v>
                  </c:pt>
                </c:numCache>
              </c:numRef>
            </c:plus>
            <c:minus>
              <c:numRef>
                <c:f>NMassBalance!$M$45:$M$50</c:f>
                <c:numCache>
                  <c:formatCode>General</c:formatCode>
                  <c:ptCount val="6"/>
                  <c:pt idx="0">
                    <c:v>2.1290277526005457</c:v>
                  </c:pt>
                  <c:pt idx="1">
                    <c:v>1.6756448418081689</c:v>
                  </c:pt>
                  <c:pt idx="2">
                    <c:v>0.76784340118669203</c:v>
                  </c:pt>
                  <c:pt idx="3">
                    <c:v>0.42712741832457252</c:v>
                  </c:pt>
                  <c:pt idx="4">
                    <c:v>5.5650776336146041E-2</c:v>
                  </c:pt>
                  <c:pt idx="5">
                    <c:v>5.7756314071508157E-2</c:v>
                  </c:pt>
                </c:numCache>
              </c:numRef>
            </c:minus>
          </c:errBars>
          <c:cat>
            <c:strRef>
              <c:f>NMassBalance!$K$45:$K$50</c:f>
              <c:strCache>
                <c:ptCount val="6"/>
                <c:pt idx="0">
                  <c:v>DC2+Bac+Lys</c:v>
                </c:pt>
                <c:pt idx="1">
                  <c:v>DC2+Bac</c:v>
                </c:pt>
                <c:pt idx="2">
                  <c:v>DC2+Lys</c:v>
                </c:pt>
                <c:pt idx="3">
                  <c:v>DC2</c:v>
                </c:pt>
                <c:pt idx="4">
                  <c:v>Bac</c:v>
                </c:pt>
                <c:pt idx="5">
                  <c:v>Bac+Lys</c:v>
                </c:pt>
              </c:strCache>
            </c:strRef>
          </c:cat>
          <c:val>
            <c:numRef>
              <c:f>NMassBalance!$L$45:$L$50</c:f>
              <c:numCache>
                <c:formatCode>General</c:formatCode>
                <c:ptCount val="6"/>
                <c:pt idx="0">
                  <c:v>39.850209855331542</c:v>
                </c:pt>
                <c:pt idx="1">
                  <c:v>18.436889895924981</c:v>
                </c:pt>
                <c:pt idx="2">
                  <c:v>12.444966385677034</c:v>
                </c:pt>
                <c:pt idx="3">
                  <c:v>0.17964190308663999</c:v>
                </c:pt>
                <c:pt idx="4">
                  <c:v>1.2793721748851581E-2</c:v>
                </c:pt>
                <c:pt idx="5">
                  <c:v>12.642801349281365</c:v>
                </c:pt>
              </c:numCache>
            </c:numRef>
          </c:val>
          <c:extLst>
            <c:ext xmlns:c16="http://schemas.microsoft.com/office/drawing/2014/chart" uri="{C3380CC4-5D6E-409C-BE32-E72D297353CC}">
              <c16:uniqueId val="{00000000-CF5D-41CA-BFBF-49A2F5664C3C}"/>
            </c:ext>
          </c:extLst>
        </c:ser>
        <c:dLbls>
          <c:showLegendKey val="0"/>
          <c:showVal val="0"/>
          <c:showCatName val="0"/>
          <c:showSerName val="0"/>
          <c:showPercent val="0"/>
          <c:showBubbleSize val="0"/>
        </c:dLbls>
        <c:gapWidth val="150"/>
        <c:axId val="123853056"/>
        <c:axId val="123858944"/>
      </c:barChart>
      <c:catAx>
        <c:axId val="123853056"/>
        <c:scaling>
          <c:orientation val="minMax"/>
        </c:scaling>
        <c:delete val="0"/>
        <c:axPos val="b"/>
        <c:numFmt formatCode="General" sourceLinked="0"/>
        <c:majorTickMark val="out"/>
        <c:minorTickMark val="none"/>
        <c:tickLblPos val="nextTo"/>
        <c:crossAx val="123858944"/>
        <c:crosses val="autoZero"/>
        <c:auto val="1"/>
        <c:lblAlgn val="ctr"/>
        <c:lblOffset val="100"/>
        <c:noMultiLvlLbl val="0"/>
      </c:catAx>
      <c:valAx>
        <c:axId val="123858944"/>
        <c:scaling>
          <c:orientation val="minMax"/>
        </c:scaling>
        <c:delete val="0"/>
        <c:axPos val="l"/>
        <c:title>
          <c:tx>
            <c:rich>
              <a:bodyPr rot="-5400000" vert="horz"/>
              <a:lstStyle/>
              <a:p>
                <a:pPr>
                  <a:defRPr/>
                </a:pPr>
                <a:r>
                  <a:rPr lang="en-CA"/>
                  <a:t>Increase</a:t>
                </a:r>
                <a:r>
                  <a:rPr lang="en-CA" baseline="0"/>
                  <a:t> in Ammonium (</a:t>
                </a:r>
                <a:r>
                  <a:rPr lang="en-CA" baseline="0">
                    <a:latin typeface="+mn-lt"/>
                    <a:ea typeface="Verdana"/>
                    <a:cs typeface="Verdana"/>
                  </a:rPr>
                  <a:t>µ</a:t>
                </a:r>
                <a:r>
                  <a:rPr lang="en-CA" baseline="0"/>
                  <a:t>mol l</a:t>
                </a:r>
                <a:r>
                  <a:rPr lang="en-CA" baseline="30000"/>
                  <a:t>-1</a:t>
                </a:r>
                <a:r>
                  <a:rPr lang="en-CA" baseline="0"/>
                  <a:t>)</a:t>
                </a:r>
                <a:endParaRPr lang="en-CA"/>
              </a:p>
            </c:rich>
          </c:tx>
          <c:overlay val="0"/>
        </c:title>
        <c:numFmt formatCode="General" sourceLinked="1"/>
        <c:majorTickMark val="out"/>
        <c:minorTickMark val="none"/>
        <c:tickLblPos val="nextTo"/>
        <c:crossAx val="123853056"/>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2681539807524"/>
          <c:y val="5.1342592592592592E-2"/>
          <c:w val="0.48494728783902014"/>
          <c:h val="0.89731481481481479"/>
        </c:manualLayout>
      </c:layout>
      <c:barChart>
        <c:barDir val="col"/>
        <c:grouping val="stacked"/>
        <c:varyColors val="0"/>
        <c:ser>
          <c:idx val="0"/>
          <c:order val="0"/>
          <c:tx>
            <c:strRef>
              <c:f>NMassBalance!$G$22</c:f>
              <c:strCache>
                <c:ptCount val="1"/>
                <c:pt idx="0">
                  <c:v>DC2-N (DC2+Bac+Lys)</c:v>
                </c:pt>
              </c:strCache>
            </c:strRef>
          </c:tx>
          <c:spPr>
            <a:solidFill>
              <a:schemeClr val="tx1">
                <a:lumMod val="85000"/>
                <a:lumOff val="15000"/>
              </a:schemeClr>
            </a:solidFill>
          </c:spPr>
          <c:invertIfNegative val="0"/>
          <c:errBars>
            <c:errBarType val="both"/>
            <c:errValType val="cust"/>
            <c:noEndCap val="0"/>
            <c:plus>
              <c:numRef>
                <c:f>NMassBalance!$M$45</c:f>
                <c:numCache>
                  <c:formatCode>General</c:formatCode>
                  <c:ptCount val="1"/>
                  <c:pt idx="0">
                    <c:v>2.1290277526005457</c:v>
                  </c:pt>
                </c:numCache>
              </c:numRef>
            </c:plus>
            <c:minus>
              <c:numRef>
                <c:f>NMassBalance!$M$45</c:f>
                <c:numCache>
                  <c:formatCode>General</c:formatCode>
                  <c:ptCount val="1"/>
                  <c:pt idx="0">
                    <c:v>2.1290277526005457</c:v>
                  </c:pt>
                </c:numCache>
              </c:numRef>
            </c:minus>
          </c:errBars>
          <c:val>
            <c:numRef>
              <c:f>NMassBalance!$G$23:$G$24</c:f>
              <c:numCache>
                <c:formatCode>General</c:formatCode>
                <c:ptCount val="2"/>
                <c:pt idx="0">
                  <c:v>35.457319586240629</c:v>
                </c:pt>
              </c:numCache>
            </c:numRef>
          </c:val>
          <c:extLst>
            <c:ext xmlns:c16="http://schemas.microsoft.com/office/drawing/2014/chart" uri="{C3380CC4-5D6E-409C-BE32-E72D297353CC}">
              <c16:uniqueId val="{00000000-4CA4-46AC-ADAC-ACC7B517EAD6}"/>
            </c:ext>
          </c:extLst>
        </c:ser>
        <c:ser>
          <c:idx val="1"/>
          <c:order val="1"/>
          <c:tx>
            <c:strRef>
              <c:f>NMassBalance!$H$22</c:f>
              <c:strCache>
                <c:ptCount val="1"/>
                <c:pt idx="0">
                  <c:v>DC2-N (NO3 in DC2+Bac)</c:v>
                </c:pt>
              </c:strCache>
            </c:strRef>
          </c:tx>
          <c:spPr>
            <a:solidFill>
              <a:schemeClr val="tx1">
                <a:lumMod val="65000"/>
                <a:lumOff val="35000"/>
              </a:schemeClr>
            </a:solidFill>
          </c:spPr>
          <c:invertIfNegative val="0"/>
          <c:errBars>
            <c:errBarType val="both"/>
            <c:errValType val="cust"/>
            <c:noEndCap val="0"/>
            <c:plus>
              <c:numRef>
                <c:f>NMassBalance!$M$46</c:f>
                <c:numCache>
                  <c:formatCode>General</c:formatCode>
                  <c:ptCount val="1"/>
                  <c:pt idx="0">
                    <c:v>1.6756448418081689</c:v>
                  </c:pt>
                </c:numCache>
              </c:numRef>
            </c:plus>
            <c:minus>
              <c:numRef>
                <c:f>NMassBalance!$M$46</c:f>
                <c:numCache>
                  <c:formatCode>General</c:formatCode>
                  <c:ptCount val="1"/>
                  <c:pt idx="0">
                    <c:v>1.6756448418081689</c:v>
                  </c:pt>
                </c:numCache>
              </c:numRef>
            </c:minus>
          </c:errBars>
          <c:val>
            <c:numRef>
              <c:f>NMassBalance!$H$23:$H$24</c:f>
              <c:numCache>
                <c:formatCode>General</c:formatCode>
                <c:ptCount val="2"/>
                <c:pt idx="1">
                  <c:v>16.810974397743166</c:v>
                </c:pt>
              </c:numCache>
            </c:numRef>
          </c:val>
          <c:extLst>
            <c:ext xmlns:c16="http://schemas.microsoft.com/office/drawing/2014/chart" uri="{C3380CC4-5D6E-409C-BE32-E72D297353CC}">
              <c16:uniqueId val="{00000001-4CA4-46AC-ADAC-ACC7B517EAD6}"/>
            </c:ext>
          </c:extLst>
        </c:ser>
        <c:ser>
          <c:idx val="2"/>
          <c:order val="2"/>
          <c:tx>
            <c:strRef>
              <c:f>NMassBalance!$I$22</c:f>
              <c:strCache>
                <c:ptCount val="1"/>
                <c:pt idx="0">
                  <c:v>DC2-N (DC2+Lys)</c:v>
                </c:pt>
              </c:strCache>
            </c:strRef>
          </c:tx>
          <c:spPr>
            <a:solidFill>
              <a:schemeClr val="bg1">
                <a:lumMod val="50000"/>
              </a:schemeClr>
            </a:solidFill>
          </c:spPr>
          <c:invertIfNegative val="0"/>
          <c:errBars>
            <c:errBarType val="both"/>
            <c:errValType val="cust"/>
            <c:noEndCap val="0"/>
            <c:plus>
              <c:numRef>
                <c:f>NMassBalance!$M$47</c:f>
                <c:numCache>
                  <c:formatCode>General</c:formatCode>
                  <c:ptCount val="1"/>
                  <c:pt idx="0">
                    <c:v>0.76784340118669203</c:v>
                  </c:pt>
                </c:numCache>
              </c:numRef>
            </c:plus>
            <c:minus>
              <c:numRef>
                <c:f>NMassBalance!$M$47</c:f>
                <c:numCache>
                  <c:formatCode>General</c:formatCode>
                  <c:ptCount val="1"/>
                  <c:pt idx="0">
                    <c:v>0.76784340118669203</c:v>
                  </c:pt>
                </c:numCache>
              </c:numRef>
            </c:minus>
          </c:errBars>
          <c:val>
            <c:numRef>
              <c:f>NMassBalance!$I$23:$I$24</c:f>
              <c:numCache>
                <c:formatCode>General</c:formatCode>
                <c:ptCount val="2"/>
                <c:pt idx="1">
                  <c:v>9.2395360074952162</c:v>
                </c:pt>
              </c:numCache>
            </c:numRef>
          </c:val>
          <c:extLst>
            <c:ext xmlns:c16="http://schemas.microsoft.com/office/drawing/2014/chart" uri="{C3380CC4-5D6E-409C-BE32-E72D297353CC}">
              <c16:uniqueId val="{00000002-4CA4-46AC-ADAC-ACC7B517EAD6}"/>
            </c:ext>
          </c:extLst>
        </c:ser>
        <c:ser>
          <c:idx val="3"/>
          <c:order val="3"/>
          <c:tx>
            <c:strRef>
              <c:f>NMassBalance!$J$22</c:f>
              <c:strCache>
                <c:ptCount val="1"/>
                <c:pt idx="0">
                  <c:v>Ammonium (Bac+Lys)</c:v>
                </c:pt>
              </c:strCache>
            </c:strRef>
          </c:tx>
          <c:spPr>
            <a:solidFill>
              <a:schemeClr val="bg1">
                <a:lumMod val="75000"/>
              </a:schemeClr>
            </a:solidFill>
          </c:spPr>
          <c:invertIfNegative val="0"/>
          <c:errBars>
            <c:errBarType val="both"/>
            <c:errValType val="cust"/>
            <c:noEndCap val="0"/>
            <c:plus>
              <c:numRef>
                <c:f>NMassBalance!$M$50</c:f>
                <c:numCache>
                  <c:formatCode>General</c:formatCode>
                  <c:ptCount val="1"/>
                  <c:pt idx="0">
                    <c:v>5.7756314071508157E-2</c:v>
                  </c:pt>
                </c:numCache>
              </c:numRef>
            </c:plus>
            <c:minus>
              <c:numRef>
                <c:f>NMassBalance!$M$50</c:f>
                <c:numCache>
                  <c:formatCode>General</c:formatCode>
                  <c:ptCount val="1"/>
                  <c:pt idx="0">
                    <c:v>5.7756314071508157E-2</c:v>
                  </c:pt>
                </c:numCache>
              </c:numRef>
            </c:minus>
          </c:errBars>
          <c:val>
            <c:numRef>
              <c:f>NMassBalance!$J$23:$J$24</c:f>
              <c:numCache>
                <c:formatCode>General</c:formatCode>
                <c:ptCount val="2"/>
                <c:pt idx="1">
                  <c:v>7.8979608983722756</c:v>
                </c:pt>
              </c:numCache>
            </c:numRef>
          </c:val>
          <c:extLst>
            <c:ext xmlns:c16="http://schemas.microsoft.com/office/drawing/2014/chart" uri="{C3380CC4-5D6E-409C-BE32-E72D297353CC}">
              <c16:uniqueId val="{00000003-4CA4-46AC-ADAC-ACC7B517EAD6}"/>
            </c:ext>
          </c:extLst>
        </c:ser>
        <c:dLbls>
          <c:showLegendKey val="0"/>
          <c:showVal val="0"/>
          <c:showCatName val="0"/>
          <c:showSerName val="0"/>
          <c:showPercent val="0"/>
          <c:showBubbleSize val="0"/>
        </c:dLbls>
        <c:gapWidth val="150"/>
        <c:overlap val="100"/>
        <c:axId val="124165504"/>
        <c:axId val="124171392"/>
      </c:barChart>
      <c:catAx>
        <c:axId val="124165504"/>
        <c:scaling>
          <c:orientation val="minMax"/>
        </c:scaling>
        <c:delete val="0"/>
        <c:axPos val="b"/>
        <c:majorTickMark val="none"/>
        <c:minorTickMark val="none"/>
        <c:tickLblPos val="none"/>
        <c:crossAx val="124171392"/>
        <c:crosses val="autoZero"/>
        <c:auto val="1"/>
        <c:lblAlgn val="ctr"/>
        <c:lblOffset val="100"/>
        <c:noMultiLvlLbl val="0"/>
      </c:catAx>
      <c:valAx>
        <c:axId val="124171392"/>
        <c:scaling>
          <c:orientation val="minMax"/>
        </c:scaling>
        <c:delete val="0"/>
        <c:axPos val="l"/>
        <c:title>
          <c:tx>
            <c:rich>
              <a:bodyPr rot="-5400000" vert="horz"/>
              <a:lstStyle/>
              <a:p>
                <a:pPr>
                  <a:defRPr/>
                </a:pPr>
                <a:r>
                  <a:rPr lang="en-CA"/>
                  <a:t>Increase in N (µmol l-1)</a:t>
                </a:r>
              </a:p>
            </c:rich>
          </c:tx>
          <c:overlay val="0"/>
        </c:title>
        <c:numFmt formatCode="General" sourceLinked="1"/>
        <c:majorTickMark val="out"/>
        <c:minorTickMark val="none"/>
        <c:tickLblPos val="nextTo"/>
        <c:crossAx val="124165504"/>
        <c:crosses val="autoZero"/>
        <c:crossBetween val="between"/>
      </c:valAx>
    </c:plotArea>
    <c:legend>
      <c:legendPos val="r"/>
      <c:layout>
        <c:manualLayout>
          <c:xMode val="edge"/>
          <c:yMode val="edge"/>
          <c:x val="0.58634076990376205"/>
          <c:y val="0.22114610673665791"/>
          <c:w val="0.41088145231846013"/>
          <c:h val="0.40955963837853604"/>
        </c:manualLayout>
      </c:layout>
      <c:overlay val="0"/>
    </c:legend>
    <c:plotVisOnly val="1"/>
    <c:dispBlanksAs val="gap"/>
    <c:showDLblsOverMax val="0"/>
  </c:chart>
  <c:spPr>
    <a:ln>
      <a:noFill/>
    </a:ln>
  </c:spPr>
  <c:txPr>
    <a:bodyPr/>
    <a:lstStyle/>
    <a:p>
      <a:pPr>
        <a:defRPr sz="11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308333333333334"/>
          <c:y val="5.3912219305920092E-2"/>
          <c:w val="0.80590223097112856"/>
          <c:h val="0.71590259550889468"/>
        </c:manualLayout>
      </c:layout>
      <c:scatterChart>
        <c:scatterStyle val="lineMarker"/>
        <c:varyColors val="0"/>
        <c:ser>
          <c:idx val="0"/>
          <c:order val="0"/>
          <c:tx>
            <c:strRef>
              <c:f>'DC2'!$M$19</c:f>
              <c:strCache>
                <c:ptCount val="1"/>
                <c:pt idx="0">
                  <c:v>Syn+Bac+lysate</c:v>
                </c:pt>
              </c:strCache>
            </c:strRef>
          </c:tx>
          <c:spPr>
            <a:ln w="28575">
              <a:solidFill>
                <a:schemeClr val="tx1"/>
              </a:solidFill>
            </a:ln>
          </c:spPr>
          <c:marker>
            <c:symbol val="none"/>
          </c:marker>
          <c:errBars>
            <c:errDir val="y"/>
            <c:errBarType val="both"/>
            <c:errValType val="cust"/>
            <c:noEndCap val="0"/>
            <c:plus>
              <c:numRef>
                <c:f>'DC2'!$N$25:$S$25</c:f>
                <c:numCache>
                  <c:formatCode>General</c:formatCode>
                  <c:ptCount val="6"/>
                  <c:pt idx="0">
                    <c:v>0.13217477509859007</c:v>
                  </c:pt>
                  <c:pt idx="1">
                    <c:v>0.33197127425230527</c:v>
                  </c:pt>
                  <c:pt idx="2">
                    <c:v>1.5108368309945133</c:v>
                  </c:pt>
                  <c:pt idx="3">
                    <c:v>3.5092776887357995</c:v>
                  </c:pt>
                  <c:pt idx="4">
                    <c:v>5.4580655370202447</c:v>
                  </c:pt>
                  <c:pt idx="5">
                    <c:v>2.5912373026892328</c:v>
                  </c:pt>
                </c:numCache>
              </c:numRef>
            </c:plus>
            <c:minus>
              <c:numRef>
                <c:f>'DC2'!$N$25:$S$25</c:f>
                <c:numCache>
                  <c:formatCode>General</c:formatCode>
                  <c:ptCount val="6"/>
                  <c:pt idx="0">
                    <c:v>0.13217477509859007</c:v>
                  </c:pt>
                  <c:pt idx="1">
                    <c:v>0.33197127425230527</c:v>
                  </c:pt>
                  <c:pt idx="2">
                    <c:v>1.5108368309945133</c:v>
                  </c:pt>
                  <c:pt idx="3">
                    <c:v>3.5092776887357995</c:v>
                  </c:pt>
                  <c:pt idx="4">
                    <c:v>5.4580655370202447</c:v>
                  </c:pt>
                  <c:pt idx="5">
                    <c:v>2.5912373026892328</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'DC2'!$N$19:$S$19</c:f>
              <c:numCache>
                <c:formatCode>0.00</c:formatCode>
                <c:ptCount val="6"/>
                <c:pt idx="0">
                  <c:v>7.6289134438305695</c:v>
                </c:pt>
                <c:pt idx="1">
                  <c:v>8.6321362799263337</c:v>
                </c:pt>
                <c:pt idx="2">
                  <c:v>15.806169429097602</c:v>
                </c:pt>
                <c:pt idx="3">
                  <c:v>27.837937384898709</c:v>
                </c:pt>
                <c:pt idx="4">
                  <c:v>47.056629834254146</c:v>
                </c:pt>
                <c:pt idx="5">
                  <c:v>53.233519034354686</c:v>
                </c:pt>
              </c:numCache>
            </c:numRef>
          </c:yVal>
          <c:smooth val="0"/>
          <c:extLst>
            <c:ext xmlns:c16="http://schemas.microsoft.com/office/drawing/2014/chart" uri="{C3380CC4-5D6E-409C-BE32-E72D297353CC}">
              <c16:uniqueId val="{00000000-1E2B-40DD-861A-E958710DE99B}"/>
            </c:ext>
          </c:extLst>
        </c:ser>
        <c:ser>
          <c:idx val="1"/>
          <c:order val="1"/>
          <c:tx>
            <c:strRef>
              <c:f>'DC2'!$M$20</c:f>
              <c:strCache>
                <c:ptCount val="1"/>
                <c:pt idx="0">
                  <c:v>Syn+Bac</c:v>
                </c:pt>
              </c:strCache>
            </c:strRef>
          </c:tx>
          <c:spPr>
            <a:ln w="28575">
              <a:solidFill>
                <a:schemeClr val="tx1">
                  <a:lumMod val="65000"/>
                  <a:lumOff val="35000"/>
                </a:schemeClr>
              </a:solidFill>
            </a:ln>
          </c:spPr>
          <c:marker>
            <c:symbol val="none"/>
          </c:marker>
          <c:errBars>
            <c:errDir val="y"/>
            <c:errBarType val="both"/>
            <c:errValType val="cust"/>
            <c:noEndCap val="0"/>
            <c:plus>
              <c:numRef>
                <c:f>'DC2'!$N$26:$S$26</c:f>
                <c:numCache>
                  <c:formatCode>General</c:formatCode>
                  <c:ptCount val="6"/>
                  <c:pt idx="0">
                    <c:v>0.150525732440772</c:v>
                  </c:pt>
                  <c:pt idx="1">
                    <c:v>0.41216137174758266</c:v>
                  </c:pt>
                  <c:pt idx="2">
                    <c:v>0.44377265828047024</c:v>
                  </c:pt>
                  <c:pt idx="3">
                    <c:v>2.6844545184660737</c:v>
                  </c:pt>
                  <c:pt idx="4">
                    <c:v>1.3541983203741452</c:v>
                  </c:pt>
                  <c:pt idx="5">
                    <c:v>2.1171935735032057</c:v>
                  </c:pt>
                </c:numCache>
              </c:numRef>
            </c:plus>
            <c:minus>
              <c:numRef>
                <c:f>'DC2'!$N$26:$S$26</c:f>
                <c:numCache>
                  <c:formatCode>General</c:formatCode>
                  <c:ptCount val="6"/>
                  <c:pt idx="0">
                    <c:v>0.150525732440772</c:v>
                  </c:pt>
                  <c:pt idx="1">
                    <c:v>0.41216137174758266</c:v>
                  </c:pt>
                  <c:pt idx="2">
                    <c:v>0.44377265828047024</c:v>
                  </c:pt>
                  <c:pt idx="3">
                    <c:v>2.6844545184660737</c:v>
                  </c:pt>
                  <c:pt idx="4">
                    <c:v>1.3541983203741452</c:v>
                  </c:pt>
                  <c:pt idx="5">
                    <c:v>2.1171935735032057</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'DC2'!$N$20:$S$20</c:f>
              <c:numCache>
                <c:formatCode>0.00</c:formatCode>
                <c:ptCount val="6"/>
                <c:pt idx="0">
                  <c:v>7.9231123388581937</c:v>
                </c:pt>
                <c:pt idx="1">
                  <c:v>8.2877532228360948</c:v>
                </c:pt>
                <c:pt idx="2">
                  <c:v>11.926104972375688</c:v>
                </c:pt>
                <c:pt idx="3">
                  <c:v>21.402854511970531</c:v>
                </c:pt>
                <c:pt idx="4">
                  <c:v>31.539134438305709</c:v>
                </c:pt>
                <c:pt idx="5">
                  <c:v>29.306870937790155</c:v>
                </c:pt>
              </c:numCache>
            </c:numRef>
          </c:yVal>
          <c:smooth val="0"/>
          <c:extLst>
            <c:ext xmlns:c16="http://schemas.microsoft.com/office/drawing/2014/chart" uri="{C3380CC4-5D6E-409C-BE32-E72D297353CC}">
              <c16:uniqueId val="{00000001-1E2B-40DD-861A-E958710DE99B}"/>
            </c:ext>
          </c:extLst>
        </c:ser>
        <c:ser>
          <c:idx val="2"/>
          <c:order val="2"/>
          <c:tx>
            <c:strRef>
              <c:f>'DC2'!$M$21</c:f>
              <c:strCache>
                <c:ptCount val="1"/>
                <c:pt idx="0">
                  <c:v>Syn+lysate</c:v>
                </c:pt>
              </c:strCache>
            </c:strRef>
          </c:tx>
          <c:spPr>
            <a:ln w="28575">
              <a:solidFill>
                <a:schemeClr val="tx1"/>
              </a:solidFill>
              <a:prstDash val="sysDash"/>
            </a:ln>
          </c:spPr>
          <c:marker>
            <c:symbol val="none"/>
          </c:marker>
          <c:errBars>
            <c:errDir val="y"/>
            <c:errBarType val="both"/>
            <c:errValType val="cust"/>
            <c:noEndCap val="0"/>
            <c:plus>
              <c:numRef>
                <c:f>'DC2'!$N$27:$S$27</c:f>
                <c:numCache>
                  <c:formatCode>General</c:formatCode>
                  <c:ptCount val="6"/>
                  <c:pt idx="0">
                    <c:v>5.0285433492402012E-2</c:v>
                  </c:pt>
                  <c:pt idx="1">
                    <c:v>9.3393046985508502E-2</c:v>
                  </c:pt>
                  <c:pt idx="2">
                    <c:v>1.4096971355796375E-2</c:v>
                  </c:pt>
                  <c:pt idx="3">
                    <c:v>0.83406254024844761</c:v>
                  </c:pt>
                  <c:pt idx="4">
                    <c:v>1.1848979988617117</c:v>
                  </c:pt>
                  <c:pt idx="5">
                    <c:v>0.89762015633010706</c:v>
                  </c:pt>
                </c:numCache>
              </c:numRef>
            </c:plus>
            <c:minus>
              <c:numRef>
                <c:f>'DC2'!$N$27:$S$27</c:f>
                <c:numCache>
                  <c:formatCode>General</c:formatCode>
                  <c:ptCount val="6"/>
                  <c:pt idx="0">
                    <c:v>5.0285433492402012E-2</c:v>
                  </c:pt>
                  <c:pt idx="1">
                    <c:v>9.3393046985508502E-2</c:v>
                  </c:pt>
                  <c:pt idx="2">
                    <c:v>1.4096971355796375E-2</c:v>
                  </c:pt>
                  <c:pt idx="3">
                    <c:v>0.83406254024844761</c:v>
                  </c:pt>
                  <c:pt idx="4">
                    <c:v>1.1848979988617117</c:v>
                  </c:pt>
                  <c:pt idx="5">
                    <c:v>0.89762015633010706</c:v>
                  </c:pt>
                </c:numCache>
              </c:numRef>
            </c:minus>
          </c:errBars>
          <c:xVal>
            <c:numRef>
              <c:f>'DC2'!$N$18:$S$18</c:f>
              <c:numCache>
                <c:formatCode>General</c:formatCode>
                <c:ptCount val="6"/>
                <c:pt idx="0">
                  <c:v>0</c:v>
                </c:pt>
                <c:pt idx="1">
                  <c:v>1</c:v>
                </c:pt>
                <c:pt idx="2">
                  <c:v>2</c:v>
                </c:pt>
                <c:pt idx="3">
                  <c:v>3</c:v>
                </c:pt>
                <c:pt idx="4">
                  <c:v>4</c:v>
                </c:pt>
                <c:pt idx="5">
                  <c:v>5</c:v>
                </c:pt>
              </c:numCache>
            </c:numRef>
          </c:xVal>
          <c:yVal>
            <c:numRef>
              <c:f>'DC2'!$N$21:$S$21</c:f>
              <c:numCache>
                <c:formatCode>0.00</c:formatCode>
                <c:ptCount val="6"/>
                <c:pt idx="0">
                  <c:v>7.6606813996316747</c:v>
                </c:pt>
                <c:pt idx="1">
                  <c:v>6.984806629834253</c:v>
                </c:pt>
                <c:pt idx="2">
                  <c:v>7.7783149171270711</c:v>
                </c:pt>
                <c:pt idx="3">
                  <c:v>10.215930018416204</c:v>
                </c:pt>
                <c:pt idx="4">
                  <c:v>16.069060773480661</c:v>
                </c:pt>
                <c:pt idx="5">
                  <c:v>20.140668523676879</c:v>
                </c:pt>
              </c:numCache>
            </c:numRef>
          </c:yVal>
          <c:smooth val="0"/>
          <c:extLst>
            <c:ext xmlns:c16="http://schemas.microsoft.com/office/drawing/2014/chart" uri="{C3380CC4-5D6E-409C-BE32-E72D297353CC}">
              <c16:uniqueId val="{00000002-1E2B-40DD-861A-E958710DE99B}"/>
            </c:ext>
          </c:extLst>
        </c:ser>
        <c:dLbls>
          <c:showLegendKey val="0"/>
          <c:showVal val="0"/>
          <c:showCatName val="0"/>
          <c:showSerName val="0"/>
          <c:showPercent val="0"/>
          <c:showBubbleSize val="0"/>
        </c:dLbls>
        <c:axId val="85711488"/>
        <c:axId val="86315776"/>
      </c:scatterChart>
      <c:valAx>
        <c:axId val="85711488"/>
        <c:scaling>
          <c:orientation val="minMax"/>
          <c:max val="5"/>
        </c:scaling>
        <c:delete val="0"/>
        <c:axPos val="b"/>
        <c:title>
          <c:tx>
            <c:rich>
              <a:bodyPr/>
              <a:lstStyle/>
              <a:p>
                <a:pPr>
                  <a:defRPr sz="1200">
                    <a:latin typeface="Times New Roman" pitchFamily="18" charset="0"/>
                    <a:cs typeface="Times New Roman" pitchFamily="18" charset="0"/>
                  </a:defRPr>
                </a:pPr>
                <a:r>
                  <a:rPr lang="en-CA" sz="1200">
                    <a:latin typeface="Times New Roman" pitchFamily="18" charset="0"/>
                    <a:cs typeface="Times New Roman" pitchFamily="18" charset="0"/>
                  </a:rPr>
                  <a:t>Time (d)</a:t>
                </a:r>
              </a:p>
            </c:rich>
          </c:tx>
          <c:overlay val="0"/>
        </c:title>
        <c:numFmt formatCode="General" sourceLinked="1"/>
        <c:majorTickMark val="out"/>
        <c:minorTickMark val="none"/>
        <c:tickLblPos val="nextTo"/>
        <c:txPr>
          <a:bodyPr/>
          <a:lstStyle/>
          <a:p>
            <a:pPr>
              <a:defRPr sz="1200">
                <a:latin typeface="Times New Roman" pitchFamily="18" charset="0"/>
                <a:cs typeface="Times New Roman" pitchFamily="18" charset="0"/>
              </a:defRPr>
            </a:pPr>
            <a:endParaRPr lang="en-US"/>
          </a:p>
        </c:txPr>
        <c:crossAx val="86315776"/>
        <c:crosses val="autoZero"/>
        <c:crossBetween val="midCat"/>
      </c:valAx>
      <c:valAx>
        <c:axId val="86315776"/>
        <c:scaling>
          <c:orientation val="minMax"/>
        </c:scaling>
        <c:delete val="0"/>
        <c:axPos val="l"/>
        <c:title>
          <c:tx>
            <c:rich>
              <a:bodyPr rot="-5400000" vert="horz"/>
              <a:lstStyle/>
              <a:p>
                <a:pPr>
                  <a:defRPr sz="1200">
                    <a:latin typeface="Times New Roman" pitchFamily="18" charset="0"/>
                    <a:cs typeface="Times New Roman" pitchFamily="18" charset="0"/>
                  </a:defRPr>
                </a:pPr>
                <a:r>
                  <a:rPr lang="en-CA" sz="1200">
                    <a:latin typeface="Times New Roman" pitchFamily="18" charset="0"/>
                    <a:cs typeface="Times New Roman" pitchFamily="18" charset="0"/>
                  </a:rPr>
                  <a:t>DC2 (x10</a:t>
                </a:r>
                <a:r>
                  <a:rPr lang="en-CA" sz="1200" baseline="30000">
                    <a:latin typeface="Times New Roman" pitchFamily="18" charset="0"/>
                    <a:cs typeface="Times New Roman" pitchFamily="18" charset="0"/>
                  </a:rPr>
                  <a:t>5</a:t>
                </a:r>
                <a:r>
                  <a:rPr lang="en-CA" sz="1200">
                    <a:latin typeface="Times New Roman" pitchFamily="18" charset="0"/>
                    <a:cs typeface="Times New Roman" pitchFamily="18" charset="0"/>
                  </a:rPr>
                  <a:t> ml</a:t>
                </a:r>
                <a:r>
                  <a:rPr lang="en-CA" sz="1200" baseline="30000">
                    <a:latin typeface="Times New Roman" pitchFamily="18" charset="0"/>
                    <a:cs typeface="Times New Roman" pitchFamily="18" charset="0"/>
                  </a:rPr>
                  <a:t>-1</a:t>
                </a:r>
                <a:r>
                  <a:rPr lang="en-CA" sz="1200">
                    <a:latin typeface="Times New Roman" pitchFamily="18" charset="0"/>
                    <a:cs typeface="Times New Roman" pitchFamily="18" charset="0"/>
                  </a:rPr>
                  <a:t>)</a:t>
                </a:r>
              </a:p>
            </c:rich>
          </c:tx>
          <c:overlay val="0"/>
        </c:title>
        <c:numFmt formatCode="0" sourceLinked="0"/>
        <c:majorTickMark val="out"/>
        <c:minorTickMark val="none"/>
        <c:tickLblPos val="nextTo"/>
        <c:txPr>
          <a:bodyPr/>
          <a:lstStyle/>
          <a:p>
            <a:pPr>
              <a:defRPr sz="1200">
                <a:latin typeface="Times New Roman" pitchFamily="18" charset="0"/>
                <a:cs typeface="Times New Roman" pitchFamily="18" charset="0"/>
              </a:defRPr>
            </a:pPr>
            <a:endParaRPr lang="en-US"/>
          </a:p>
        </c:txPr>
        <c:crossAx val="85711488"/>
        <c:crosses val="autoZero"/>
        <c:crossBetween val="midCat"/>
      </c:valAx>
    </c:plotArea>
    <c:legend>
      <c:legendPos val="r"/>
      <c:layout>
        <c:manualLayout>
          <c:xMode val="edge"/>
          <c:yMode val="edge"/>
          <c:x val="0.18231889763779527"/>
          <c:y val="8.1878827646544194E-2"/>
          <c:w val="0.30656999125109363"/>
          <c:h val="0.35476086322543016"/>
        </c:manualLayout>
      </c:layout>
      <c:overlay val="0"/>
      <c:txPr>
        <a:bodyPr/>
        <a:lstStyle/>
        <a:p>
          <a:pPr>
            <a:defRPr sz="1200">
              <a:latin typeface="Times New Roman" pitchFamily="18" charset="0"/>
              <a:cs typeface="Times New Roman" pitchFamily="18"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861570428696413"/>
          <c:y val="5.1342592592592592E-2"/>
          <c:w val="0.82082874015748031"/>
          <c:h val="0.83192949839603381"/>
        </c:manualLayout>
      </c:layout>
      <c:barChart>
        <c:barDir val="col"/>
        <c:grouping val="clustered"/>
        <c:varyColors val="0"/>
        <c:ser>
          <c:idx val="0"/>
          <c:order val="0"/>
          <c:spPr>
            <a:solidFill>
              <a:schemeClr val="tx1">
                <a:lumMod val="50000"/>
                <a:lumOff val="50000"/>
              </a:schemeClr>
            </a:solidFill>
          </c:spPr>
          <c:invertIfNegative val="0"/>
          <c:errBars>
            <c:errBarType val="both"/>
            <c:errValType val="cust"/>
            <c:noEndCap val="0"/>
            <c:plus>
              <c:numRef>
                <c:f>NMassBalance!$Q$45:$Q$48</c:f>
                <c:numCache>
                  <c:formatCode>General</c:formatCode>
                  <c:ptCount val="4"/>
                  <c:pt idx="0">
                    <c:v>2.1290277526005457</c:v>
                  </c:pt>
                  <c:pt idx="1">
                    <c:v>1.6756448418081689</c:v>
                  </c:pt>
                  <c:pt idx="2">
                    <c:v>0.76784340118669203</c:v>
                  </c:pt>
                  <c:pt idx="3">
                    <c:v>5.7756314071508157E-2</c:v>
                  </c:pt>
                </c:numCache>
              </c:numRef>
            </c:plus>
            <c:minus>
              <c:numRef>
                <c:f>NMassBalance!$Q$45:$Q$48</c:f>
                <c:numCache>
                  <c:formatCode>General</c:formatCode>
                  <c:ptCount val="4"/>
                  <c:pt idx="0">
                    <c:v>2.1290277526005457</c:v>
                  </c:pt>
                  <c:pt idx="1">
                    <c:v>1.6756448418081689</c:v>
                  </c:pt>
                  <c:pt idx="2">
                    <c:v>0.76784340118669203</c:v>
                  </c:pt>
                  <c:pt idx="3">
                    <c:v>5.7756314071508157E-2</c:v>
                  </c:pt>
                </c:numCache>
              </c:numRef>
            </c:minus>
          </c:errBars>
          <c:cat>
            <c:strRef>
              <c:f>NMassBalance!$O$45:$O$48</c:f>
              <c:strCache>
                <c:ptCount val="4"/>
                <c:pt idx="0">
                  <c:v>DC2+Bac+Lys</c:v>
                </c:pt>
                <c:pt idx="1">
                  <c:v>DC2+Bac</c:v>
                </c:pt>
                <c:pt idx="2">
                  <c:v>DC2+Lys</c:v>
                </c:pt>
                <c:pt idx="3">
                  <c:v>Bac+Lys</c:v>
                </c:pt>
              </c:strCache>
            </c:strRef>
          </c:cat>
          <c:val>
            <c:numRef>
              <c:f>NMassBalance!$P$45:$P$48</c:f>
              <c:numCache>
                <c:formatCode>General</c:formatCode>
                <c:ptCount val="4"/>
                <c:pt idx="0">
                  <c:v>39.850209855331542</c:v>
                </c:pt>
                <c:pt idx="1">
                  <c:v>18.436889895924981</c:v>
                </c:pt>
                <c:pt idx="2">
                  <c:v>12.444966385677034</c:v>
                </c:pt>
                <c:pt idx="3">
                  <c:v>12.642801349281365</c:v>
                </c:pt>
              </c:numCache>
            </c:numRef>
          </c:val>
          <c:extLst>
            <c:ext xmlns:c16="http://schemas.microsoft.com/office/drawing/2014/chart" uri="{C3380CC4-5D6E-409C-BE32-E72D297353CC}">
              <c16:uniqueId val="{00000000-7E52-49AB-BD55-8BB1EE3D5A17}"/>
            </c:ext>
          </c:extLst>
        </c:ser>
        <c:dLbls>
          <c:showLegendKey val="0"/>
          <c:showVal val="0"/>
          <c:showCatName val="0"/>
          <c:showSerName val="0"/>
          <c:showPercent val="0"/>
          <c:showBubbleSize val="0"/>
        </c:dLbls>
        <c:gapWidth val="150"/>
        <c:axId val="124003840"/>
        <c:axId val="124005376"/>
      </c:barChart>
      <c:catAx>
        <c:axId val="124003840"/>
        <c:scaling>
          <c:orientation val="minMax"/>
        </c:scaling>
        <c:delete val="0"/>
        <c:axPos val="b"/>
        <c:numFmt formatCode="General" sourceLinked="0"/>
        <c:majorTickMark val="out"/>
        <c:minorTickMark val="none"/>
        <c:tickLblPos val="nextTo"/>
        <c:crossAx val="124005376"/>
        <c:crosses val="autoZero"/>
        <c:auto val="1"/>
        <c:lblAlgn val="ctr"/>
        <c:lblOffset val="100"/>
        <c:noMultiLvlLbl val="0"/>
      </c:catAx>
      <c:valAx>
        <c:axId val="124005376"/>
        <c:scaling>
          <c:orientation val="minMax"/>
        </c:scaling>
        <c:delete val="0"/>
        <c:axPos val="l"/>
        <c:title>
          <c:tx>
            <c:rich>
              <a:bodyPr rot="-5400000" vert="horz"/>
              <a:lstStyle/>
              <a:p>
                <a:pPr>
                  <a:defRPr/>
                </a:pPr>
                <a:r>
                  <a:rPr lang="en-CA"/>
                  <a:t>Increase in N (µmol l-1)</a:t>
                </a:r>
              </a:p>
            </c:rich>
          </c:tx>
          <c:layout>
            <c:manualLayout>
              <c:xMode val="edge"/>
              <c:yMode val="edge"/>
              <c:x val="2.7777777777777776E-2"/>
              <c:y val="7.4436789151356084E-2"/>
            </c:manualLayout>
          </c:layout>
          <c:overlay val="0"/>
        </c:title>
        <c:numFmt formatCode="General" sourceLinked="1"/>
        <c:majorTickMark val="out"/>
        <c:minorTickMark val="none"/>
        <c:tickLblPos val="nextTo"/>
        <c:crossAx val="124003840"/>
        <c:crosses val="autoZero"/>
        <c:crossBetween val="between"/>
      </c:valAx>
    </c:plotArea>
    <c:plotVisOnly val="1"/>
    <c:dispBlanksAs val="gap"/>
    <c:showDLblsOverMax val="0"/>
  </c:chart>
  <c:spPr>
    <a:ln>
      <a:noFill/>
    </a:ln>
  </c:spPr>
  <c:txPr>
    <a:bodyPr/>
    <a:lstStyle/>
    <a:p>
      <a:pPr>
        <a:defRPr sz="1100">
          <a:latin typeface="Times New Roman" pitchFamily="18" charset="0"/>
          <a:cs typeface="Times New Roman" pitchFamily="18" charset="0"/>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NMassBalance!$D$72</c:f>
              <c:strCache>
                <c:ptCount val="1"/>
                <c:pt idx="0">
                  <c:v>Ammonium</c:v>
                </c:pt>
              </c:strCache>
            </c:strRef>
          </c:tx>
          <c:invertIfNegative val="0"/>
          <c:cat>
            <c:strRef>
              <c:f>NMassBalance!$C$73:$C$76</c:f>
              <c:strCache>
                <c:ptCount val="4"/>
                <c:pt idx="0">
                  <c:v>DC2+Bac+Lys</c:v>
                </c:pt>
                <c:pt idx="1">
                  <c:v>DC2+Bac</c:v>
                </c:pt>
                <c:pt idx="2">
                  <c:v>DC2+Lys</c:v>
                </c:pt>
                <c:pt idx="3">
                  <c:v>Bac+Lys</c:v>
                </c:pt>
              </c:strCache>
            </c:strRef>
          </c:cat>
          <c:val>
            <c:numRef>
              <c:f>NMassBalance!$D$73:$D$76</c:f>
              <c:numCache>
                <c:formatCode>General</c:formatCode>
                <c:ptCount val="4"/>
                <c:pt idx="3">
                  <c:v>7.3707564038268218</c:v>
                </c:pt>
              </c:numCache>
            </c:numRef>
          </c:val>
          <c:extLst>
            <c:ext xmlns:c16="http://schemas.microsoft.com/office/drawing/2014/chart" uri="{C3380CC4-5D6E-409C-BE32-E72D297353CC}">
              <c16:uniqueId val="{00000000-DB4D-4C7F-9589-23D9AACB57AE}"/>
            </c:ext>
          </c:extLst>
        </c:ser>
        <c:ser>
          <c:idx val="1"/>
          <c:order val="1"/>
          <c:tx>
            <c:strRef>
              <c:f>NMassBalance!$E$72</c:f>
              <c:strCache>
                <c:ptCount val="1"/>
                <c:pt idx="0">
                  <c:v>DC2</c:v>
                </c:pt>
              </c:strCache>
            </c:strRef>
          </c:tx>
          <c:invertIfNegative val="0"/>
          <c:cat>
            <c:strRef>
              <c:f>NMassBalance!$C$73:$C$76</c:f>
              <c:strCache>
                <c:ptCount val="4"/>
                <c:pt idx="0">
                  <c:v>DC2+Bac+Lys</c:v>
                </c:pt>
                <c:pt idx="1">
                  <c:v>DC2+Bac</c:v>
                </c:pt>
                <c:pt idx="2">
                  <c:v>DC2+Lys</c:v>
                </c:pt>
                <c:pt idx="3">
                  <c:v>Bac+Lys</c:v>
                </c:pt>
              </c:strCache>
            </c:strRef>
          </c:cat>
          <c:val>
            <c:numRef>
              <c:f>NMassBalance!$E$73:$E$76</c:f>
              <c:numCache>
                <c:formatCode>General</c:formatCode>
                <c:ptCount val="4"/>
                <c:pt idx="0">
                  <c:v>35.058109808306568</c:v>
                </c:pt>
                <c:pt idx="1">
                  <c:v>16.641338238892445</c:v>
                </c:pt>
                <c:pt idx="2">
                  <c:v>9.1206983584074699</c:v>
                </c:pt>
              </c:numCache>
            </c:numRef>
          </c:val>
          <c:extLst>
            <c:ext xmlns:c16="http://schemas.microsoft.com/office/drawing/2014/chart" uri="{C3380CC4-5D6E-409C-BE32-E72D297353CC}">
              <c16:uniqueId val="{00000001-DB4D-4C7F-9589-23D9AACB57AE}"/>
            </c:ext>
          </c:extLst>
        </c:ser>
        <c:ser>
          <c:idx val="2"/>
          <c:order val="2"/>
          <c:tx>
            <c:strRef>
              <c:f>NMassBalance!$F$72</c:f>
              <c:strCache>
                <c:ptCount val="1"/>
                <c:pt idx="0">
                  <c:v>Bac</c:v>
                </c:pt>
              </c:strCache>
            </c:strRef>
          </c:tx>
          <c:invertIfNegative val="0"/>
          <c:errBars>
            <c:errBarType val="both"/>
            <c:errValType val="cust"/>
            <c:noEndCap val="0"/>
            <c:plus>
              <c:numRef>
                <c:f>NMassBalance!$G$73:$G$76</c:f>
                <c:numCache>
                  <c:formatCode>General</c:formatCode>
                  <c:ptCount val="4"/>
                  <c:pt idx="0">
                    <c:v>2.1290277526005457</c:v>
                  </c:pt>
                  <c:pt idx="1">
                    <c:v>1.6756448418081689</c:v>
                  </c:pt>
                  <c:pt idx="2">
                    <c:v>0.76784340118669203</c:v>
                  </c:pt>
                  <c:pt idx="3">
                    <c:v>5.7756314071508157E-2</c:v>
                  </c:pt>
                </c:numCache>
              </c:numRef>
            </c:plus>
            <c:minus>
              <c:numRef>
                <c:f>NMassBalance!$G$73:$G$76</c:f>
                <c:numCache>
                  <c:formatCode>General</c:formatCode>
                  <c:ptCount val="4"/>
                  <c:pt idx="0">
                    <c:v>2.1290277526005457</c:v>
                  </c:pt>
                  <c:pt idx="1">
                    <c:v>1.6756448418081689</c:v>
                  </c:pt>
                  <c:pt idx="2">
                    <c:v>0.76784340118669203</c:v>
                  </c:pt>
                  <c:pt idx="3">
                    <c:v>5.7756314071508157E-2</c:v>
                  </c:pt>
                </c:numCache>
              </c:numRef>
            </c:minus>
          </c:errBars>
          <c:cat>
            <c:strRef>
              <c:f>NMassBalance!$C$73:$C$76</c:f>
              <c:strCache>
                <c:ptCount val="4"/>
                <c:pt idx="0">
                  <c:v>DC2+Bac+Lys</c:v>
                </c:pt>
                <c:pt idx="1">
                  <c:v>DC2+Bac</c:v>
                </c:pt>
                <c:pt idx="2">
                  <c:v>DC2+Lys</c:v>
                </c:pt>
                <c:pt idx="3">
                  <c:v>Bac+Lys</c:v>
                </c:pt>
              </c:strCache>
            </c:strRef>
          </c:cat>
          <c:val>
            <c:numRef>
              <c:f>NMassBalance!$F$73:$F$76</c:f>
              <c:numCache>
                <c:formatCode>General</c:formatCode>
                <c:ptCount val="4"/>
                <c:pt idx="0">
                  <c:v>4.7921000470249799</c:v>
                </c:pt>
                <c:pt idx="1">
                  <c:v>1.7955516570325378</c:v>
                </c:pt>
                <c:pt idx="2">
                  <c:v>3.3242680272695626</c:v>
                </c:pt>
                <c:pt idx="3">
                  <c:v>12.642801349281367</c:v>
                </c:pt>
              </c:numCache>
            </c:numRef>
          </c:val>
          <c:extLst>
            <c:ext xmlns:c16="http://schemas.microsoft.com/office/drawing/2014/chart" uri="{C3380CC4-5D6E-409C-BE32-E72D297353CC}">
              <c16:uniqueId val="{00000002-DB4D-4C7F-9589-23D9AACB57AE}"/>
            </c:ext>
          </c:extLst>
        </c:ser>
        <c:dLbls>
          <c:showLegendKey val="0"/>
          <c:showVal val="0"/>
          <c:showCatName val="0"/>
          <c:showSerName val="0"/>
          <c:showPercent val="0"/>
          <c:showBubbleSize val="0"/>
        </c:dLbls>
        <c:gapWidth val="150"/>
        <c:overlap val="100"/>
        <c:axId val="124039936"/>
        <c:axId val="124041472"/>
      </c:barChart>
      <c:catAx>
        <c:axId val="124039936"/>
        <c:scaling>
          <c:orientation val="minMax"/>
        </c:scaling>
        <c:delete val="0"/>
        <c:axPos val="b"/>
        <c:numFmt formatCode="General" sourceLinked="0"/>
        <c:majorTickMark val="out"/>
        <c:minorTickMark val="none"/>
        <c:tickLblPos val="nextTo"/>
        <c:crossAx val="124041472"/>
        <c:crosses val="autoZero"/>
        <c:auto val="1"/>
        <c:lblAlgn val="ctr"/>
        <c:lblOffset val="100"/>
        <c:noMultiLvlLbl val="0"/>
      </c:catAx>
      <c:valAx>
        <c:axId val="124041472"/>
        <c:scaling>
          <c:orientation val="minMax"/>
        </c:scaling>
        <c:delete val="0"/>
        <c:axPos val="l"/>
        <c:title>
          <c:tx>
            <c:rich>
              <a:bodyPr rot="-5400000" vert="horz"/>
              <a:lstStyle/>
              <a:p>
                <a:pPr>
                  <a:defRPr/>
                </a:pPr>
                <a:r>
                  <a:rPr lang="en-CA"/>
                  <a:t>Increase in N (</a:t>
                </a:r>
                <a:r>
                  <a:rPr lang="en-CA">
                    <a:latin typeface="+mn-lt"/>
                    <a:ea typeface="Verdana"/>
                    <a:cs typeface="Verdana"/>
                  </a:rPr>
                  <a:t>µ</a:t>
                </a:r>
                <a:r>
                  <a:rPr lang="en-CA"/>
                  <a:t>mol l</a:t>
                </a:r>
                <a:r>
                  <a:rPr lang="en-CA" baseline="30000"/>
                  <a:t>-1</a:t>
                </a:r>
                <a:r>
                  <a:rPr lang="en-CA"/>
                  <a:t>)</a:t>
                </a:r>
              </a:p>
            </c:rich>
          </c:tx>
          <c:overlay val="0"/>
        </c:title>
        <c:numFmt formatCode="General" sourceLinked="1"/>
        <c:majorTickMark val="out"/>
        <c:minorTickMark val="none"/>
        <c:tickLblPos val="nextTo"/>
        <c:crossAx val="1240399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NMassBalance!$U$22</c:f>
              <c:strCache>
                <c:ptCount val="1"/>
                <c:pt idx="0">
                  <c:v>DC2-N (DC2+Bac+Lys)</c:v>
                </c:pt>
              </c:strCache>
            </c:strRef>
          </c:tx>
          <c:invertIfNegative val="0"/>
          <c:errBars>
            <c:errBarType val="both"/>
            <c:errValType val="cust"/>
            <c:noEndCap val="0"/>
            <c:plus>
              <c:numRef>
                <c:f>NMassBalance!$U$27</c:f>
                <c:numCache>
                  <c:formatCode>General</c:formatCode>
                  <c:ptCount val="1"/>
                  <c:pt idx="0">
                    <c:v>3.69</c:v>
                  </c:pt>
                </c:numCache>
              </c:numRef>
            </c:plus>
            <c:minus>
              <c:numRef>
                <c:f>NMassBalance!$U$27</c:f>
                <c:numCache>
                  <c:formatCode>General</c:formatCode>
                  <c:ptCount val="1"/>
                  <c:pt idx="0">
                    <c:v>3.69</c:v>
                  </c:pt>
                </c:numCache>
              </c:numRef>
            </c:minus>
          </c:errBars>
          <c:val>
            <c:numRef>
              <c:f>NMassBalance!$U$23:$U$25</c:f>
              <c:numCache>
                <c:formatCode>General</c:formatCode>
                <c:ptCount val="3"/>
                <c:pt idx="0">
                  <c:v>35.457319586240629</c:v>
                </c:pt>
              </c:numCache>
            </c:numRef>
          </c:val>
          <c:extLst>
            <c:ext xmlns:c16="http://schemas.microsoft.com/office/drawing/2014/chart" uri="{C3380CC4-5D6E-409C-BE32-E72D297353CC}">
              <c16:uniqueId val="{00000000-7660-43E6-9FE4-7FD4DE01240F}"/>
            </c:ext>
          </c:extLst>
        </c:ser>
        <c:ser>
          <c:idx val="0"/>
          <c:order val="1"/>
          <c:tx>
            <c:strRef>
              <c:f>NMassBalance!$T$22</c:f>
              <c:strCache>
                <c:ptCount val="1"/>
                <c:pt idx="0">
                  <c:v>Lys available</c:v>
                </c:pt>
              </c:strCache>
            </c:strRef>
          </c:tx>
          <c:invertIfNegative val="0"/>
          <c:errBars>
            <c:errBarType val="both"/>
            <c:errValType val="cust"/>
            <c:noEndCap val="0"/>
            <c:plus>
              <c:numRef>
                <c:f>NMassBalance!$T$27</c:f>
                <c:numCache>
                  <c:formatCode>General</c:formatCode>
                  <c:ptCount val="1"/>
                  <c:pt idx="0">
                    <c:v>2.4609999999999999</c:v>
                  </c:pt>
                </c:numCache>
              </c:numRef>
            </c:plus>
            <c:minus>
              <c:numRef>
                <c:f>NMassBalance!$T$27</c:f>
                <c:numCache>
                  <c:formatCode>General</c:formatCode>
                  <c:ptCount val="1"/>
                  <c:pt idx="0">
                    <c:v>2.4609999999999999</c:v>
                  </c:pt>
                </c:numCache>
              </c:numRef>
            </c:minus>
          </c:errBars>
          <c:val>
            <c:numRef>
              <c:f>NMassBalance!$T$23:$T$25</c:f>
              <c:numCache>
                <c:formatCode>General</c:formatCode>
                <c:ptCount val="3"/>
                <c:pt idx="2">
                  <c:v>34.506</c:v>
                </c:pt>
              </c:numCache>
            </c:numRef>
          </c:val>
          <c:extLst>
            <c:ext xmlns:c16="http://schemas.microsoft.com/office/drawing/2014/chart" uri="{C3380CC4-5D6E-409C-BE32-E72D297353CC}">
              <c16:uniqueId val="{00000001-7660-43E6-9FE4-7FD4DE01240F}"/>
            </c:ext>
          </c:extLst>
        </c:ser>
        <c:ser>
          <c:idx val="2"/>
          <c:order val="2"/>
          <c:tx>
            <c:strRef>
              <c:f>NMassBalance!$V$22</c:f>
              <c:strCache>
                <c:ptCount val="1"/>
                <c:pt idx="0">
                  <c:v>DC2-N (NO3 in DC2+Bac)</c:v>
                </c:pt>
              </c:strCache>
            </c:strRef>
          </c:tx>
          <c:invertIfNegative val="0"/>
          <c:errBars>
            <c:errBarType val="both"/>
            <c:errValType val="cust"/>
            <c:noEndCap val="0"/>
            <c:plus>
              <c:numRef>
                <c:f>NMassBalance!$V$27</c:f>
                <c:numCache>
                  <c:formatCode>General</c:formatCode>
                  <c:ptCount val="1"/>
                  <c:pt idx="0">
                    <c:v>2.9</c:v>
                  </c:pt>
                </c:numCache>
              </c:numRef>
            </c:plus>
            <c:minus>
              <c:numRef>
                <c:f>NMassBalance!$V$27</c:f>
                <c:numCache>
                  <c:formatCode>General</c:formatCode>
                  <c:ptCount val="1"/>
                  <c:pt idx="0">
                    <c:v>2.9</c:v>
                  </c:pt>
                </c:numCache>
              </c:numRef>
            </c:minus>
          </c:errBars>
          <c:val>
            <c:numRef>
              <c:f>NMassBalance!$V$23:$V$25</c:f>
              <c:numCache>
                <c:formatCode>General</c:formatCode>
                <c:ptCount val="3"/>
                <c:pt idx="1">
                  <c:v>16.810974397743166</c:v>
                </c:pt>
              </c:numCache>
            </c:numRef>
          </c:val>
          <c:extLst>
            <c:ext xmlns:c16="http://schemas.microsoft.com/office/drawing/2014/chart" uri="{C3380CC4-5D6E-409C-BE32-E72D297353CC}">
              <c16:uniqueId val="{00000002-7660-43E6-9FE4-7FD4DE01240F}"/>
            </c:ext>
          </c:extLst>
        </c:ser>
        <c:ser>
          <c:idx val="3"/>
          <c:order val="3"/>
          <c:tx>
            <c:strRef>
              <c:f>NMassBalance!$W$22</c:f>
              <c:strCache>
                <c:ptCount val="1"/>
                <c:pt idx="0">
                  <c:v>DC2-N (DC2+Lys)</c:v>
                </c:pt>
              </c:strCache>
            </c:strRef>
          </c:tx>
          <c:invertIfNegative val="0"/>
          <c:errBars>
            <c:errBarType val="both"/>
            <c:errValType val="cust"/>
            <c:noEndCap val="0"/>
            <c:plus>
              <c:numRef>
                <c:f>NMassBalance!$W$27</c:f>
                <c:numCache>
                  <c:formatCode>General</c:formatCode>
                  <c:ptCount val="1"/>
                  <c:pt idx="0">
                    <c:v>1.33</c:v>
                  </c:pt>
                </c:numCache>
              </c:numRef>
            </c:plus>
            <c:minus>
              <c:numRef>
                <c:f>NMassBalance!$W$27</c:f>
                <c:numCache>
                  <c:formatCode>General</c:formatCode>
                  <c:ptCount val="1"/>
                  <c:pt idx="0">
                    <c:v>1.33</c:v>
                  </c:pt>
                </c:numCache>
              </c:numRef>
            </c:minus>
          </c:errBars>
          <c:val>
            <c:numRef>
              <c:f>NMassBalance!$W$23:$W$25</c:f>
              <c:numCache>
                <c:formatCode>General</c:formatCode>
                <c:ptCount val="3"/>
                <c:pt idx="1">
                  <c:v>9.2395360074952162</c:v>
                </c:pt>
              </c:numCache>
            </c:numRef>
          </c:val>
          <c:extLst>
            <c:ext xmlns:c16="http://schemas.microsoft.com/office/drawing/2014/chart" uri="{C3380CC4-5D6E-409C-BE32-E72D297353CC}">
              <c16:uniqueId val="{00000003-7660-43E6-9FE4-7FD4DE01240F}"/>
            </c:ext>
          </c:extLst>
        </c:ser>
        <c:ser>
          <c:idx val="4"/>
          <c:order val="4"/>
          <c:tx>
            <c:strRef>
              <c:f>NMassBalance!$X$22</c:f>
              <c:strCache>
                <c:ptCount val="1"/>
                <c:pt idx="0">
                  <c:v>Ammonium (Bac+Lys)</c:v>
                </c:pt>
              </c:strCache>
            </c:strRef>
          </c:tx>
          <c:invertIfNegative val="0"/>
          <c:errBars>
            <c:errBarType val="both"/>
            <c:errValType val="cust"/>
            <c:noEndCap val="0"/>
            <c:plus>
              <c:numRef>
                <c:f>NMassBalance!$X$27</c:f>
                <c:numCache>
                  <c:formatCode>General</c:formatCode>
                  <c:ptCount val="1"/>
                  <c:pt idx="0">
                    <c:v>0.1</c:v>
                  </c:pt>
                </c:numCache>
              </c:numRef>
            </c:plus>
            <c:minus>
              <c:numRef>
                <c:f>NMassBalance!$X$27</c:f>
                <c:numCache>
                  <c:formatCode>General</c:formatCode>
                  <c:ptCount val="1"/>
                  <c:pt idx="0">
                    <c:v>0.1</c:v>
                  </c:pt>
                </c:numCache>
              </c:numRef>
            </c:minus>
          </c:errBars>
          <c:val>
            <c:numRef>
              <c:f>NMassBalance!$X$23:$X$25</c:f>
              <c:numCache>
                <c:formatCode>General</c:formatCode>
                <c:ptCount val="3"/>
                <c:pt idx="1">
                  <c:v>7.8979608983722756</c:v>
                </c:pt>
              </c:numCache>
            </c:numRef>
          </c:val>
          <c:extLst>
            <c:ext xmlns:c16="http://schemas.microsoft.com/office/drawing/2014/chart" uri="{C3380CC4-5D6E-409C-BE32-E72D297353CC}">
              <c16:uniqueId val="{00000004-7660-43E6-9FE4-7FD4DE01240F}"/>
            </c:ext>
          </c:extLst>
        </c:ser>
        <c:dLbls>
          <c:showLegendKey val="0"/>
          <c:showVal val="0"/>
          <c:showCatName val="0"/>
          <c:showSerName val="0"/>
          <c:showPercent val="0"/>
          <c:showBubbleSize val="0"/>
        </c:dLbls>
        <c:gapWidth val="150"/>
        <c:overlap val="100"/>
        <c:axId val="123964800"/>
        <c:axId val="123970688"/>
      </c:barChart>
      <c:catAx>
        <c:axId val="123964800"/>
        <c:scaling>
          <c:orientation val="minMax"/>
        </c:scaling>
        <c:delete val="0"/>
        <c:axPos val="b"/>
        <c:majorTickMark val="out"/>
        <c:minorTickMark val="none"/>
        <c:tickLblPos val="nextTo"/>
        <c:txPr>
          <a:bodyPr/>
          <a:lstStyle/>
          <a:p>
            <a:pPr>
              <a:defRPr>
                <a:solidFill>
                  <a:schemeClr val="bg1"/>
                </a:solidFill>
              </a:defRPr>
            </a:pPr>
            <a:endParaRPr lang="en-US"/>
          </a:p>
        </c:txPr>
        <c:crossAx val="123970688"/>
        <c:crosses val="autoZero"/>
        <c:auto val="1"/>
        <c:lblAlgn val="ctr"/>
        <c:lblOffset val="100"/>
        <c:noMultiLvlLbl val="0"/>
      </c:catAx>
      <c:valAx>
        <c:axId val="123970688"/>
        <c:scaling>
          <c:orientation val="minMax"/>
        </c:scaling>
        <c:delete val="0"/>
        <c:axPos val="l"/>
        <c:title>
          <c:tx>
            <c:rich>
              <a:bodyPr rot="-5400000" vert="horz"/>
              <a:lstStyle/>
              <a:p>
                <a:pPr>
                  <a:defRPr/>
                </a:pPr>
                <a:r>
                  <a:rPr lang="en-CA"/>
                  <a:t>Nitrogen (umol</a:t>
                </a:r>
                <a:r>
                  <a:rPr lang="en-CA" baseline="0"/>
                  <a:t> l-1)</a:t>
                </a:r>
                <a:endParaRPr lang="en-CA"/>
              </a:p>
            </c:rich>
          </c:tx>
          <c:overlay val="0"/>
        </c:title>
        <c:numFmt formatCode="General" sourceLinked="1"/>
        <c:majorTickMark val="out"/>
        <c:minorTickMark val="none"/>
        <c:tickLblPos val="nextTo"/>
        <c:crossAx val="123964800"/>
        <c:crosses val="autoZero"/>
        <c:crossBetween val="between"/>
      </c:valAx>
      <c:spPr>
        <a:ln>
          <a:noFill/>
        </a:ln>
      </c:spPr>
    </c:plotArea>
    <c:legend>
      <c:legendPos val="r"/>
      <c:overlay val="0"/>
    </c:legend>
    <c:plotVisOnly val="1"/>
    <c:dispBlanksAs val="gap"/>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NMassBalance!$L$75</c:f>
              <c:strCache>
                <c:ptCount val="1"/>
                <c:pt idx="0">
                  <c:v>DC2+Bac+Lys</c:v>
                </c:pt>
              </c:strCache>
            </c:strRef>
          </c:tx>
          <c:invertIfNegative val="0"/>
          <c:val>
            <c:numRef>
              <c:f>NMassBalance!$M$75:$O$75</c:f>
              <c:numCache>
                <c:formatCode>General</c:formatCode>
                <c:ptCount val="3"/>
                <c:pt idx="0">
                  <c:v>35.70840617738039</c:v>
                </c:pt>
              </c:numCache>
            </c:numRef>
          </c:val>
          <c:extLst>
            <c:ext xmlns:c16="http://schemas.microsoft.com/office/drawing/2014/chart" uri="{C3380CC4-5D6E-409C-BE32-E72D297353CC}">
              <c16:uniqueId val="{00000000-FF12-41F4-AAF8-CAAA73CAF54A}"/>
            </c:ext>
          </c:extLst>
        </c:ser>
        <c:dLbls>
          <c:showLegendKey val="0"/>
          <c:showVal val="0"/>
          <c:showCatName val="0"/>
          <c:showSerName val="0"/>
          <c:showPercent val="0"/>
          <c:showBubbleSize val="0"/>
        </c:dLbls>
        <c:gapWidth val="150"/>
        <c:overlap val="100"/>
        <c:axId val="124195968"/>
        <c:axId val="124197504"/>
      </c:barChart>
      <c:catAx>
        <c:axId val="124195968"/>
        <c:scaling>
          <c:orientation val="minMax"/>
        </c:scaling>
        <c:delete val="0"/>
        <c:axPos val="b"/>
        <c:majorTickMark val="out"/>
        <c:minorTickMark val="none"/>
        <c:tickLblPos val="nextTo"/>
        <c:crossAx val="124197504"/>
        <c:crosses val="autoZero"/>
        <c:auto val="1"/>
        <c:lblAlgn val="ctr"/>
        <c:lblOffset val="100"/>
        <c:noMultiLvlLbl val="0"/>
      </c:catAx>
      <c:valAx>
        <c:axId val="124197504"/>
        <c:scaling>
          <c:orientation val="minMax"/>
        </c:scaling>
        <c:delete val="0"/>
        <c:axPos val="l"/>
        <c:numFmt formatCode="General" sourceLinked="1"/>
        <c:majorTickMark val="out"/>
        <c:minorTickMark val="none"/>
        <c:tickLblPos val="nextTo"/>
        <c:crossAx val="12419596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
          <c:order val="0"/>
          <c:tx>
            <c:strRef>
              <c:f>NMassBalance!$L$76</c:f>
              <c:strCache>
                <c:ptCount val="1"/>
                <c:pt idx="0">
                  <c:v>DC2 from Lys</c:v>
                </c:pt>
              </c:strCache>
            </c:strRef>
          </c:tx>
          <c:invertIfNegative val="0"/>
          <c:val>
            <c:numRef>
              <c:f>NMassBalance!$M$76:$O$76</c:f>
              <c:numCache>
                <c:formatCode>General</c:formatCode>
                <c:ptCount val="3"/>
                <c:pt idx="1">
                  <c:v>16.743482982963727</c:v>
                </c:pt>
              </c:numCache>
            </c:numRef>
          </c:val>
          <c:extLst>
            <c:ext xmlns:c16="http://schemas.microsoft.com/office/drawing/2014/chart" uri="{C3380CC4-5D6E-409C-BE32-E72D297353CC}">
              <c16:uniqueId val="{00000000-2F9A-4E57-B6A7-60943BE0FB17}"/>
            </c:ext>
          </c:extLst>
        </c:ser>
        <c:dLbls>
          <c:showLegendKey val="0"/>
          <c:showVal val="0"/>
          <c:showCatName val="0"/>
          <c:showSerName val="0"/>
          <c:showPercent val="0"/>
          <c:showBubbleSize val="0"/>
        </c:dLbls>
        <c:gapWidth val="150"/>
        <c:overlap val="100"/>
        <c:axId val="124205312"/>
        <c:axId val="124231680"/>
      </c:barChart>
      <c:catAx>
        <c:axId val="124205312"/>
        <c:scaling>
          <c:orientation val="minMax"/>
        </c:scaling>
        <c:delete val="0"/>
        <c:axPos val="b"/>
        <c:majorTickMark val="out"/>
        <c:minorTickMark val="none"/>
        <c:tickLblPos val="nextTo"/>
        <c:crossAx val="124231680"/>
        <c:crosses val="autoZero"/>
        <c:auto val="1"/>
        <c:lblAlgn val="ctr"/>
        <c:lblOffset val="100"/>
        <c:noMultiLvlLbl val="0"/>
      </c:catAx>
      <c:valAx>
        <c:axId val="124231680"/>
        <c:scaling>
          <c:orientation val="minMax"/>
          <c:max val="40"/>
        </c:scaling>
        <c:delete val="0"/>
        <c:axPos val="l"/>
        <c:numFmt formatCode="General" sourceLinked="1"/>
        <c:majorTickMark val="out"/>
        <c:minorTickMark val="none"/>
        <c:tickLblPos val="nextTo"/>
        <c:crossAx val="124205312"/>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NMassBalance!$L$76</c:f>
              <c:strCache>
                <c:ptCount val="1"/>
                <c:pt idx="0">
                  <c:v>DC2 from Lys</c:v>
                </c:pt>
              </c:strCache>
            </c:strRef>
          </c:tx>
          <c:invertIfNegative val="0"/>
          <c:val>
            <c:numRef>
              <c:f>NMassBalance!$M$76:$O$76</c:f>
              <c:numCache>
                <c:formatCode>General</c:formatCode>
                <c:ptCount val="3"/>
                <c:pt idx="1">
                  <c:v>16.743482982963727</c:v>
                </c:pt>
              </c:numCache>
            </c:numRef>
          </c:val>
          <c:extLst>
            <c:ext xmlns:c16="http://schemas.microsoft.com/office/drawing/2014/chart" uri="{C3380CC4-5D6E-409C-BE32-E72D297353CC}">
              <c16:uniqueId val="{00000000-F6C2-4F54-A074-9F5648D1E52A}"/>
            </c:ext>
          </c:extLst>
        </c:ser>
        <c:ser>
          <c:idx val="2"/>
          <c:order val="1"/>
          <c:tx>
            <c:strRef>
              <c:f>NMassBalance!$L$77</c:f>
              <c:strCache>
                <c:ptCount val="1"/>
                <c:pt idx="0">
                  <c:v>DC2 from UF</c:v>
                </c:pt>
              </c:strCache>
            </c:strRef>
          </c:tx>
          <c:invertIfNegative val="0"/>
          <c:val>
            <c:numRef>
              <c:f>NMassBalance!$M$77:$O$77</c:f>
              <c:numCache>
                <c:formatCode>General</c:formatCode>
                <c:ptCount val="3"/>
                <c:pt idx="1">
                  <c:v>18.964923194416663</c:v>
                </c:pt>
              </c:numCache>
            </c:numRef>
          </c:val>
          <c:extLst>
            <c:ext xmlns:c16="http://schemas.microsoft.com/office/drawing/2014/chart" uri="{C3380CC4-5D6E-409C-BE32-E72D297353CC}">
              <c16:uniqueId val="{00000001-F6C2-4F54-A074-9F5648D1E52A}"/>
            </c:ext>
          </c:extLst>
        </c:ser>
        <c:dLbls>
          <c:showLegendKey val="0"/>
          <c:showVal val="0"/>
          <c:showCatName val="0"/>
          <c:showSerName val="0"/>
          <c:showPercent val="0"/>
          <c:showBubbleSize val="0"/>
        </c:dLbls>
        <c:gapWidth val="150"/>
        <c:overlap val="100"/>
        <c:axId val="128786816"/>
        <c:axId val="128788352"/>
      </c:barChart>
      <c:catAx>
        <c:axId val="128786816"/>
        <c:scaling>
          <c:orientation val="minMax"/>
        </c:scaling>
        <c:delete val="0"/>
        <c:axPos val="b"/>
        <c:majorTickMark val="out"/>
        <c:minorTickMark val="none"/>
        <c:tickLblPos val="nextTo"/>
        <c:crossAx val="128788352"/>
        <c:crosses val="autoZero"/>
        <c:auto val="1"/>
        <c:lblAlgn val="ctr"/>
        <c:lblOffset val="100"/>
        <c:noMultiLvlLbl val="0"/>
      </c:catAx>
      <c:valAx>
        <c:axId val="128788352"/>
        <c:scaling>
          <c:orientation val="minMax"/>
        </c:scaling>
        <c:delete val="0"/>
        <c:axPos val="l"/>
        <c:numFmt formatCode="General" sourceLinked="1"/>
        <c:majorTickMark val="out"/>
        <c:minorTickMark val="none"/>
        <c:tickLblPos val="nextTo"/>
        <c:crossAx val="128786816"/>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1"/>
          <c:order val="0"/>
          <c:tx>
            <c:strRef>
              <c:f>NMassBalance!$L$76</c:f>
              <c:strCache>
                <c:ptCount val="1"/>
                <c:pt idx="0">
                  <c:v>DC2 from Lys</c:v>
                </c:pt>
              </c:strCache>
            </c:strRef>
          </c:tx>
          <c:invertIfNegative val="0"/>
          <c:val>
            <c:numRef>
              <c:f>NMassBalance!$M$76:$O$76</c:f>
              <c:numCache>
                <c:formatCode>General</c:formatCode>
                <c:ptCount val="3"/>
                <c:pt idx="1">
                  <c:v>16.743482982963727</c:v>
                </c:pt>
              </c:numCache>
            </c:numRef>
          </c:val>
          <c:extLst>
            <c:ext xmlns:c16="http://schemas.microsoft.com/office/drawing/2014/chart" uri="{C3380CC4-5D6E-409C-BE32-E72D297353CC}">
              <c16:uniqueId val="{00000000-89D4-484E-B242-BD2F8023C640}"/>
            </c:ext>
          </c:extLst>
        </c:ser>
        <c:ser>
          <c:idx val="3"/>
          <c:order val="1"/>
          <c:tx>
            <c:strRef>
              <c:f>NMassBalance!$L$78</c:f>
              <c:strCache>
                <c:ptCount val="1"/>
                <c:pt idx="0">
                  <c:v>Lys available</c:v>
                </c:pt>
              </c:strCache>
            </c:strRef>
          </c:tx>
          <c:invertIfNegative val="0"/>
          <c:val>
            <c:numRef>
              <c:f>NMassBalance!$M$78:$O$78</c:f>
              <c:numCache>
                <c:formatCode>General</c:formatCode>
                <c:ptCount val="3"/>
                <c:pt idx="2">
                  <c:v>34.506</c:v>
                </c:pt>
              </c:numCache>
            </c:numRef>
          </c:val>
          <c:extLst>
            <c:ext xmlns:c16="http://schemas.microsoft.com/office/drawing/2014/chart" uri="{C3380CC4-5D6E-409C-BE32-E72D297353CC}">
              <c16:uniqueId val="{00000001-89D4-484E-B242-BD2F8023C640}"/>
            </c:ext>
          </c:extLst>
        </c:ser>
        <c:dLbls>
          <c:showLegendKey val="0"/>
          <c:showVal val="0"/>
          <c:showCatName val="0"/>
          <c:showSerName val="0"/>
          <c:showPercent val="0"/>
          <c:showBubbleSize val="0"/>
        </c:dLbls>
        <c:gapWidth val="150"/>
        <c:overlap val="100"/>
        <c:axId val="128796928"/>
        <c:axId val="128811008"/>
      </c:barChart>
      <c:catAx>
        <c:axId val="128796928"/>
        <c:scaling>
          <c:orientation val="minMax"/>
        </c:scaling>
        <c:delete val="0"/>
        <c:axPos val="b"/>
        <c:majorTickMark val="out"/>
        <c:minorTickMark val="none"/>
        <c:tickLblPos val="nextTo"/>
        <c:crossAx val="128811008"/>
        <c:crosses val="autoZero"/>
        <c:auto val="1"/>
        <c:lblAlgn val="ctr"/>
        <c:lblOffset val="100"/>
        <c:noMultiLvlLbl val="0"/>
      </c:catAx>
      <c:valAx>
        <c:axId val="128811008"/>
        <c:scaling>
          <c:orientation val="minMax"/>
        </c:scaling>
        <c:delete val="0"/>
        <c:axPos val="l"/>
        <c:numFmt formatCode="General" sourceLinked="1"/>
        <c:majorTickMark val="out"/>
        <c:minorTickMark val="none"/>
        <c:tickLblPos val="nextTo"/>
        <c:crossAx val="128796928"/>
        <c:crosses val="autoZero"/>
        <c:crossBetween val="between"/>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NMassBalance!$L$75</c:f>
              <c:strCache>
                <c:ptCount val="1"/>
                <c:pt idx="0">
                  <c:v>DC2+Bac+Lys</c:v>
                </c:pt>
              </c:strCache>
            </c:strRef>
          </c:tx>
          <c:invertIfNegative val="0"/>
          <c:errBars>
            <c:errBarType val="both"/>
            <c:errValType val="cust"/>
            <c:noEndCap val="0"/>
            <c:plus>
              <c:numRef>
                <c:f>NMassBalance!$P$75</c:f>
                <c:numCache>
                  <c:formatCode>General</c:formatCode>
                  <c:ptCount val="1"/>
                  <c:pt idx="0">
                    <c:v>3.6859999999999999</c:v>
                  </c:pt>
                </c:numCache>
              </c:numRef>
            </c:plus>
            <c:minus>
              <c:numRef>
                <c:f>NMassBalance!$P$75</c:f>
                <c:numCache>
                  <c:formatCode>General</c:formatCode>
                  <c:ptCount val="1"/>
                  <c:pt idx="0">
                    <c:v>3.6859999999999999</c:v>
                  </c:pt>
                </c:numCache>
              </c:numRef>
            </c:minus>
          </c:errBars>
          <c:val>
            <c:numRef>
              <c:f>NMassBalance!$M$75:$O$75</c:f>
              <c:numCache>
                <c:formatCode>General</c:formatCode>
                <c:ptCount val="3"/>
                <c:pt idx="0">
                  <c:v>35.70840617738039</c:v>
                </c:pt>
              </c:numCache>
            </c:numRef>
          </c:val>
          <c:extLst>
            <c:ext xmlns:c16="http://schemas.microsoft.com/office/drawing/2014/chart" uri="{C3380CC4-5D6E-409C-BE32-E72D297353CC}">
              <c16:uniqueId val="{00000000-5D9A-417D-B552-654E0A4D6106}"/>
            </c:ext>
          </c:extLst>
        </c:ser>
        <c:ser>
          <c:idx val="1"/>
          <c:order val="1"/>
          <c:tx>
            <c:strRef>
              <c:f>NMassBalance!$L$76</c:f>
              <c:strCache>
                <c:ptCount val="1"/>
                <c:pt idx="0">
                  <c:v>DC2 from Lys</c:v>
                </c:pt>
              </c:strCache>
            </c:strRef>
          </c:tx>
          <c:invertIfNegative val="0"/>
          <c:errBars>
            <c:errBarType val="both"/>
            <c:errValType val="cust"/>
            <c:noEndCap val="0"/>
            <c:plus>
              <c:numRef>
                <c:f>NMassBalance!$P$76</c:f>
                <c:numCache>
                  <c:formatCode>General</c:formatCode>
                  <c:ptCount val="1"/>
                  <c:pt idx="0">
                    <c:v>2.9729999999999999</c:v>
                  </c:pt>
                </c:numCache>
              </c:numRef>
            </c:plus>
            <c:minus>
              <c:numRef>
                <c:f>NMassBalance!$P$76</c:f>
                <c:numCache>
                  <c:formatCode>General</c:formatCode>
                  <c:ptCount val="1"/>
                  <c:pt idx="0">
                    <c:v>2.9729999999999999</c:v>
                  </c:pt>
                </c:numCache>
              </c:numRef>
            </c:minus>
          </c:errBars>
          <c:val>
            <c:numRef>
              <c:f>NMassBalance!$M$76:$O$76</c:f>
              <c:numCache>
                <c:formatCode>General</c:formatCode>
                <c:ptCount val="3"/>
                <c:pt idx="1">
                  <c:v>16.743482982963727</c:v>
                </c:pt>
              </c:numCache>
            </c:numRef>
          </c:val>
          <c:extLst>
            <c:ext xmlns:c16="http://schemas.microsoft.com/office/drawing/2014/chart" uri="{C3380CC4-5D6E-409C-BE32-E72D297353CC}">
              <c16:uniqueId val="{00000001-5D9A-417D-B552-654E0A4D6106}"/>
            </c:ext>
          </c:extLst>
        </c:ser>
        <c:ser>
          <c:idx val="2"/>
          <c:order val="2"/>
          <c:tx>
            <c:strRef>
              <c:f>NMassBalance!$L$77</c:f>
              <c:strCache>
                <c:ptCount val="1"/>
                <c:pt idx="0">
                  <c:v>DC2 from UF</c:v>
                </c:pt>
              </c:strCache>
            </c:strRef>
          </c:tx>
          <c:invertIfNegative val="0"/>
          <c:errBars>
            <c:errBarType val="both"/>
            <c:errValType val="cust"/>
            <c:noEndCap val="0"/>
            <c:plus>
              <c:numRef>
                <c:f>NMassBalance!$P$77</c:f>
                <c:numCache>
                  <c:formatCode>General</c:formatCode>
                  <c:ptCount val="1"/>
                  <c:pt idx="0">
                    <c:v>4.7393999999999998</c:v>
                  </c:pt>
                </c:numCache>
              </c:numRef>
            </c:plus>
            <c:minus>
              <c:numRef>
                <c:f>NMassBalance!$P$77</c:f>
                <c:numCache>
                  <c:formatCode>General</c:formatCode>
                  <c:ptCount val="1"/>
                  <c:pt idx="0">
                    <c:v>4.7393999999999998</c:v>
                  </c:pt>
                </c:numCache>
              </c:numRef>
            </c:minus>
          </c:errBars>
          <c:val>
            <c:numRef>
              <c:f>NMassBalance!$M$77:$O$77</c:f>
              <c:numCache>
                <c:formatCode>General</c:formatCode>
                <c:ptCount val="3"/>
                <c:pt idx="1">
                  <c:v>18.964923194416663</c:v>
                </c:pt>
              </c:numCache>
            </c:numRef>
          </c:val>
          <c:extLst>
            <c:ext xmlns:c16="http://schemas.microsoft.com/office/drawing/2014/chart" uri="{C3380CC4-5D6E-409C-BE32-E72D297353CC}">
              <c16:uniqueId val="{00000002-5D9A-417D-B552-654E0A4D6106}"/>
            </c:ext>
          </c:extLst>
        </c:ser>
        <c:ser>
          <c:idx val="3"/>
          <c:order val="3"/>
          <c:tx>
            <c:strRef>
              <c:f>NMassBalance!$L$78</c:f>
              <c:strCache>
                <c:ptCount val="1"/>
                <c:pt idx="0">
                  <c:v>Lys available</c:v>
                </c:pt>
              </c:strCache>
            </c:strRef>
          </c:tx>
          <c:invertIfNegative val="0"/>
          <c:errBars>
            <c:errBarType val="both"/>
            <c:errValType val="cust"/>
            <c:noEndCap val="0"/>
            <c:plus>
              <c:numRef>
                <c:f>NMassBalance!$P$78</c:f>
                <c:numCache>
                  <c:formatCode>General</c:formatCode>
                  <c:ptCount val="1"/>
                  <c:pt idx="0">
                    <c:v>2.4609999999999999</c:v>
                  </c:pt>
                </c:numCache>
              </c:numRef>
            </c:plus>
            <c:minus>
              <c:numRef>
                <c:f>NMassBalance!$P$78</c:f>
                <c:numCache>
                  <c:formatCode>General</c:formatCode>
                  <c:ptCount val="1"/>
                  <c:pt idx="0">
                    <c:v>2.4609999999999999</c:v>
                  </c:pt>
                </c:numCache>
              </c:numRef>
            </c:minus>
          </c:errBars>
          <c:val>
            <c:numRef>
              <c:f>NMassBalance!$M$78:$O$78</c:f>
              <c:numCache>
                <c:formatCode>General</c:formatCode>
                <c:ptCount val="3"/>
                <c:pt idx="2">
                  <c:v>34.506</c:v>
                </c:pt>
              </c:numCache>
            </c:numRef>
          </c:val>
          <c:extLst>
            <c:ext xmlns:c16="http://schemas.microsoft.com/office/drawing/2014/chart" uri="{C3380CC4-5D6E-409C-BE32-E72D297353CC}">
              <c16:uniqueId val="{00000003-5D9A-417D-B552-654E0A4D6106}"/>
            </c:ext>
          </c:extLst>
        </c:ser>
        <c:dLbls>
          <c:showLegendKey val="0"/>
          <c:showVal val="0"/>
          <c:showCatName val="0"/>
          <c:showSerName val="0"/>
          <c:showPercent val="0"/>
          <c:showBubbleSize val="0"/>
        </c:dLbls>
        <c:gapWidth val="150"/>
        <c:overlap val="100"/>
        <c:axId val="128843136"/>
        <c:axId val="128857216"/>
      </c:barChart>
      <c:catAx>
        <c:axId val="128843136"/>
        <c:scaling>
          <c:orientation val="minMax"/>
        </c:scaling>
        <c:delete val="0"/>
        <c:axPos val="b"/>
        <c:majorTickMark val="out"/>
        <c:minorTickMark val="none"/>
        <c:tickLblPos val="nextTo"/>
        <c:crossAx val="128857216"/>
        <c:crosses val="autoZero"/>
        <c:auto val="1"/>
        <c:lblAlgn val="ctr"/>
        <c:lblOffset val="100"/>
        <c:noMultiLvlLbl val="0"/>
      </c:catAx>
      <c:valAx>
        <c:axId val="128857216"/>
        <c:scaling>
          <c:orientation val="minMax"/>
        </c:scaling>
        <c:delete val="0"/>
        <c:axPos val="l"/>
        <c:numFmt formatCode="General" sourceLinked="1"/>
        <c:majorTickMark val="out"/>
        <c:minorTickMark val="none"/>
        <c:tickLblPos val="nextTo"/>
        <c:crossAx val="1288431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DC2+Bac+Lys</a:t>
            </a:r>
          </a:p>
        </c:rich>
      </c:tx>
      <c:overlay val="1"/>
    </c:title>
    <c:autoTitleDeleted val="0"/>
    <c:plotArea>
      <c:layout/>
      <c:scatterChart>
        <c:scatterStyle val="lineMarker"/>
        <c:varyColors val="0"/>
        <c:ser>
          <c:idx val="0"/>
          <c:order val="0"/>
          <c:tx>
            <c:strRef>
              <c:f>'N-Figures'!$K$5</c:f>
              <c:strCache>
                <c:ptCount val="1"/>
                <c:pt idx="0">
                  <c:v>DC2-N</c:v>
                </c:pt>
              </c:strCache>
            </c:strRef>
          </c:tx>
          <c:spPr>
            <a:ln w="28575">
              <a:noFill/>
            </a:ln>
          </c:spPr>
          <c:errBars>
            <c:errDir val="y"/>
            <c:errBarType val="both"/>
            <c:errValType val="cust"/>
            <c:noEndCap val="0"/>
            <c:plus>
              <c:numRef>
                <c:f>'N-Figures'!$L$9:$Q$9</c:f>
                <c:numCache>
                  <c:formatCode>General</c:formatCode>
                  <c:ptCount val="6"/>
                  <c:pt idx="0">
                    <c:v>0.10349284890219602</c:v>
                  </c:pt>
                  <c:pt idx="1">
                    <c:v>0.25993350773955504</c:v>
                  </c:pt>
                  <c:pt idx="2">
                    <c:v>1.1829852386687039</c:v>
                  </c:pt>
                  <c:pt idx="3">
                    <c:v>2.7477644302801312</c:v>
                  </c:pt>
                  <c:pt idx="4">
                    <c:v>4.273665315486852</c:v>
                  </c:pt>
                  <c:pt idx="5">
                    <c:v>2.0289388080056692</c:v>
                  </c:pt>
                </c:numCache>
              </c:numRef>
            </c:plus>
            <c:minus>
              <c:numRef>
                <c:f>'N-Figures'!$L$9:$Q$9</c:f>
                <c:numCache>
                  <c:formatCode>General</c:formatCode>
                  <c:ptCount val="6"/>
                  <c:pt idx="0">
                    <c:v>0.10349284890219602</c:v>
                  </c:pt>
                  <c:pt idx="1">
                    <c:v>0.25993350773955504</c:v>
                  </c:pt>
                  <c:pt idx="2">
                    <c:v>1.1829852386687039</c:v>
                  </c:pt>
                  <c:pt idx="3">
                    <c:v>2.7477644302801312</c:v>
                  </c:pt>
                  <c:pt idx="4">
                    <c:v>4.273665315486852</c:v>
                  </c:pt>
                  <c:pt idx="5">
                    <c:v>2.0289388080056692</c:v>
                  </c:pt>
                </c:numCache>
              </c:numRef>
            </c:minus>
          </c:errBars>
          <c:xVal>
            <c:numRef>
              <c:f>'N-Figures'!$L$4:$Q$4</c:f>
              <c:numCache>
                <c:formatCode>General</c:formatCode>
                <c:ptCount val="6"/>
                <c:pt idx="0">
                  <c:v>0</c:v>
                </c:pt>
                <c:pt idx="1">
                  <c:v>1</c:v>
                </c:pt>
                <c:pt idx="2">
                  <c:v>2</c:v>
                </c:pt>
                <c:pt idx="3">
                  <c:v>3</c:v>
                </c:pt>
                <c:pt idx="4">
                  <c:v>4</c:v>
                </c:pt>
                <c:pt idx="5">
                  <c:v>5</c:v>
                </c:pt>
              </c:numCache>
            </c:numRef>
          </c:xVal>
          <c:yVal>
            <c:numRef>
              <c:f>'N-Figures'!$L$5:$Q$5</c:f>
              <c:numCache>
                <c:formatCode>General</c:formatCode>
                <c:ptCount val="6"/>
                <c:pt idx="0">
                  <c:v>5.9734392265193366</c:v>
                </c:pt>
                <c:pt idx="1">
                  <c:v>6.7589627071823193</c:v>
                </c:pt>
                <c:pt idx="2">
                  <c:v>12.376230662983422</c:v>
                </c:pt>
                <c:pt idx="3">
                  <c:v>21.797104972375688</c:v>
                </c:pt>
                <c:pt idx="4">
                  <c:v>36.845341160220997</c:v>
                </c:pt>
                <c:pt idx="5">
                  <c:v>41.681845403899722</c:v>
                </c:pt>
              </c:numCache>
            </c:numRef>
          </c:yVal>
          <c:smooth val="0"/>
          <c:extLst>
            <c:ext xmlns:c16="http://schemas.microsoft.com/office/drawing/2014/chart" uri="{C3380CC4-5D6E-409C-BE32-E72D297353CC}">
              <c16:uniqueId val="{00000000-D95C-4DA7-96D6-DEA76F941108}"/>
            </c:ext>
          </c:extLst>
        </c:ser>
        <c:ser>
          <c:idx val="1"/>
          <c:order val="1"/>
          <c:tx>
            <c:strRef>
              <c:f>'N-Figures'!$K$6</c:f>
              <c:strCache>
                <c:ptCount val="1"/>
                <c:pt idx="0">
                  <c:v>Bac-N</c:v>
                </c:pt>
              </c:strCache>
            </c:strRef>
          </c:tx>
          <c:spPr>
            <a:ln w="28575">
              <a:noFill/>
            </a:ln>
          </c:spPr>
          <c:errBars>
            <c:errDir val="y"/>
            <c:errBarType val="both"/>
            <c:errValType val="cust"/>
            <c:noEndCap val="0"/>
            <c:plus>
              <c:numRef>
                <c:f>'N-Figures'!$L$10:$Q$10</c:f>
                <c:numCache>
                  <c:formatCode>General</c:formatCode>
                  <c:ptCount val="6"/>
                  <c:pt idx="0">
                    <c:v>1.9444109945996318E-3</c:v>
                  </c:pt>
                  <c:pt idx="1">
                    <c:v>7.5968758739052331E-2</c:v>
                  </c:pt>
                  <c:pt idx="2">
                    <c:v>2.5429699097993804E-2</c:v>
                  </c:pt>
                  <c:pt idx="3">
                    <c:v>1.3748497482346061E-2</c:v>
                  </c:pt>
                  <c:pt idx="4">
                    <c:v>1.9073262364804833E-2</c:v>
                  </c:pt>
                  <c:pt idx="5">
                    <c:v>3.9822800312198309E-3</c:v>
                  </c:pt>
                </c:numCache>
              </c:numRef>
            </c:plus>
            <c:minus>
              <c:numRef>
                <c:f>'N-Figures'!$L$10:$Q$10</c:f>
                <c:numCache>
                  <c:formatCode>General</c:formatCode>
                  <c:ptCount val="6"/>
                  <c:pt idx="0">
                    <c:v>1.9444109945996318E-3</c:v>
                  </c:pt>
                  <c:pt idx="1">
                    <c:v>7.5968758739052331E-2</c:v>
                  </c:pt>
                  <c:pt idx="2">
                    <c:v>2.5429699097993804E-2</c:v>
                  </c:pt>
                  <c:pt idx="3">
                    <c:v>1.3748497482346061E-2</c:v>
                  </c:pt>
                  <c:pt idx="4">
                    <c:v>1.9073262364804833E-2</c:v>
                  </c:pt>
                  <c:pt idx="5">
                    <c:v>3.9822800312198309E-3</c:v>
                  </c:pt>
                </c:numCache>
              </c:numRef>
            </c:minus>
          </c:errBars>
          <c:xVal>
            <c:numRef>
              <c:f>'N-Figures'!$L$4:$Q$4</c:f>
              <c:numCache>
                <c:formatCode>General</c:formatCode>
                <c:ptCount val="6"/>
                <c:pt idx="0">
                  <c:v>0</c:v>
                </c:pt>
                <c:pt idx="1">
                  <c:v>1</c:v>
                </c:pt>
                <c:pt idx="2">
                  <c:v>2</c:v>
                </c:pt>
                <c:pt idx="3">
                  <c:v>3</c:v>
                </c:pt>
                <c:pt idx="4">
                  <c:v>4</c:v>
                </c:pt>
                <c:pt idx="5">
                  <c:v>5</c:v>
                </c:pt>
              </c:numCache>
            </c:numRef>
          </c:xVal>
          <c:yVal>
            <c:numRef>
              <c:f>'N-Figures'!$L$6:$Q$6</c:f>
              <c:numCache>
                <c:formatCode>General</c:formatCode>
                <c:ptCount val="6"/>
                <c:pt idx="0">
                  <c:v>7.6091917575757562E-2</c:v>
                </c:pt>
                <c:pt idx="1">
                  <c:v>0.1512622099009901</c:v>
                </c:pt>
                <c:pt idx="2">
                  <c:v>0.32705180198019812</c:v>
                </c:pt>
                <c:pt idx="3">
                  <c:v>0.40946635151515143</c:v>
                </c:pt>
                <c:pt idx="4">
                  <c:v>0.47260600396039598</c:v>
                </c:pt>
                <c:pt idx="5">
                  <c:v>0.56419083636363643</c:v>
                </c:pt>
              </c:numCache>
            </c:numRef>
          </c:yVal>
          <c:smooth val="0"/>
          <c:extLst>
            <c:ext xmlns:c16="http://schemas.microsoft.com/office/drawing/2014/chart" uri="{C3380CC4-5D6E-409C-BE32-E72D297353CC}">
              <c16:uniqueId val="{00000001-D95C-4DA7-96D6-DEA76F941108}"/>
            </c:ext>
          </c:extLst>
        </c:ser>
        <c:ser>
          <c:idx val="2"/>
          <c:order val="2"/>
          <c:tx>
            <c:strRef>
              <c:f>'N-Figures'!$K$7</c:f>
              <c:strCache>
                <c:ptCount val="1"/>
                <c:pt idx="0">
                  <c:v>NH4</c:v>
                </c:pt>
              </c:strCache>
            </c:strRef>
          </c:tx>
          <c:spPr>
            <a:ln w="28575">
              <a:noFill/>
            </a:ln>
          </c:spPr>
          <c:errBars>
            <c:errDir val="y"/>
            <c:errBarType val="both"/>
            <c:errValType val="cust"/>
            <c:noEndCap val="0"/>
            <c:plus>
              <c:numRef>
                <c:f>'N-Figures'!$L$11:$Q$11</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plus>
            <c:minus>
              <c:numRef>
                <c:f>'N-Figures'!$L$11:$Q$11</c:f>
                <c:numCache>
                  <c:formatCode>General</c:formatCode>
                  <c:ptCount val="6"/>
                  <c:pt idx="0">
                    <c:v>4.7600682006591004E-2</c:v>
                  </c:pt>
                  <c:pt idx="1">
                    <c:v>6.3527558616913157E-2</c:v>
                  </c:pt>
                  <c:pt idx="2">
                    <c:v>0.18932221902484059</c:v>
                  </c:pt>
                  <c:pt idx="3">
                    <c:v>7.7556377414251063E-3</c:v>
                  </c:pt>
                  <c:pt idx="4">
                    <c:v>1.3473557784674916E-2</c:v>
                  </c:pt>
                  <c:pt idx="5">
                    <c:v>2.0122276883332263E-2</c:v>
                  </c:pt>
                </c:numCache>
              </c:numRef>
            </c:minus>
          </c:errBars>
          <c:xVal>
            <c:numRef>
              <c:f>'N-Figures'!$L$4:$Q$4</c:f>
              <c:numCache>
                <c:formatCode>General</c:formatCode>
                <c:ptCount val="6"/>
                <c:pt idx="0">
                  <c:v>0</c:v>
                </c:pt>
                <c:pt idx="1">
                  <c:v>1</c:v>
                </c:pt>
                <c:pt idx="2">
                  <c:v>2</c:v>
                </c:pt>
                <c:pt idx="3">
                  <c:v>3</c:v>
                </c:pt>
                <c:pt idx="4">
                  <c:v>4</c:v>
                </c:pt>
                <c:pt idx="5">
                  <c:v>5</c:v>
                </c:pt>
              </c:numCache>
            </c:numRef>
          </c:xVal>
          <c:yVal>
            <c:numRef>
              <c:f>'N-Figures'!$L$7:$Q$7</c:f>
              <c:numCache>
                <c:formatCode>General</c:formatCode>
                <c:ptCount val="6"/>
                <c:pt idx="0">
                  <c:v>0.8841784493019863</c:v>
                </c:pt>
                <c:pt idx="1">
                  <c:v>2.52002179848634</c:v>
                </c:pt>
                <c:pt idx="2">
                  <c:v>0.31689186120915641</c:v>
                </c:pt>
                <c:pt idx="3">
                  <c:v>8.3638814998360234E-2</c:v>
                </c:pt>
                <c:pt idx="4">
                  <c:v>0.14906177449079724</c:v>
                </c:pt>
                <c:pt idx="5">
                  <c:v>0.14499293937435673</c:v>
                </c:pt>
              </c:numCache>
            </c:numRef>
          </c:yVal>
          <c:smooth val="0"/>
          <c:extLst>
            <c:ext xmlns:c16="http://schemas.microsoft.com/office/drawing/2014/chart" uri="{C3380CC4-5D6E-409C-BE32-E72D297353CC}">
              <c16:uniqueId val="{00000002-D95C-4DA7-96D6-DEA76F941108}"/>
            </c:ext>
          </c:extLst>
        </c:ser>
        <c:dLbls>
          <c:showLegendKey val="0"/>
          <c:showVal val="0"/>
          <c:showCatName val="0"/>
          <c:showSerName val="0"/>
          <c:showPercent val="0"/>
          <c:showBubbleSize val="0"/>
        </c:dLbls>
        <c:axId val="123646336"/>
        <c:axId val="123648256"/>
      </c:scatterChart>
      <c:valAx>
        <c:axId val="123646336"/>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3648256"/>
        <c:crosses val="autoZero"/>
        <c:crossBetween val="midCat"/>
      </c:valAx>
      <c:valAx>
        <c:axId val="123648256"/>
        <c:scaling>
          <c:orientation val="minMax"/>
          <c:max val="50"/>
          <c:min val="0"/>
        </c:scaling>
        <c:delete val="0"/>
        <c:axPos val="l"/>
        <c:title>
          <c:tx>
            <c:rich>
              <a:bodyPr rot="-5400000" vert="horz"/>
              <a:lstStyle/>
              <a:p>
                <a:pPr>
                  <a:defRPr/>
                </a:pPr>
                <a:r>
                  <a:rPr lang="en-CA"/>
                  <a:t>N (uM)</a:t>
                </a:r>
              </a:p>
            </c:rich>
          </c:tx>
          <c:overlay val="0"/>
        </c:title>
        <c:numFmt formatCode="General" sourceLinked="1"/>
        <c:majorTickMark val="out"/>
        <c:minorTickMark val="none"/>
        <c:tickLblPos val="nextTo"/>
        <c:crossAx val="123646336"/>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DC2+Bac</a:t>
            </a:r>
          </a:p>
        </c:rich>
      </c:tx>
      <c:overlay val="1"/>
    </c:title>
    <c:autoTitleDeleted val="0"/>
    <c:plotArea>
      <c:layout/>
      <c:scatterChart>
        <c:scatterStyle val="lineMarker"/>
        <c:varyColors val="0"/>
        <c:ser>
          <c:idx val="0"/>
          <c:order val="0"/>
          <c:tx>
            <c:strRef>
              <c:f>'N-Figures'!$K$15</c:f>
              <c:strCache>
                <c:ptCount val="1"/>
                <c:pt idx="0">
                  <c:v>DC2-N</c:v>
                </c:pt>
              </c:strCache>
            </c:strRef>
          </c:tx>
          <c:spPr>
            <a:ln w="28575">
              <a:noFill/>
            </a:ln>
          </c:spPr>
          <c:errBars>
            <c:errDir val="y"/>
            <c:errBarType val="both"/>
            <c:errValType val="cust"/>
            <c:noEndCap val="0"/>
            <c:plus>
              <c:numRef>
                <c:f>'N-Figures'!$L$19:$Q$19</c:f>
                <c:numCache>
                  <c:formatCode>General</c:formatCode>
                  <c:ptCount val="6"/>
                  <c:pt idx="0">
                    <c:v>0.11786164850112446</c:v>
                  </c:pt>
                  <c:pt idx="1">
                    <c:v>0.32272235407835725</c:v>
                  </c:pt>
                  <c:pt idx="2">
                    <c:v>0.34747399143360824</c:v>
                  </c:pt>
                  <c:pt idx="3">
                    <c:v>2.101927887958936</c:v>
                  </c:pt>
                  <c:pt idx="4">
                    <c:v>1.0603372848529555</c:v>
                  </c:pt>
                  <c:pt idx="5">
                    <c:v>1.6577625680530099</c:v>
                  </c:pt>
                </c:numCache>
              </c:numRef>
            </c:plus>
            <c:minus>
              <c:numRef>
                <c:f>'N-Figures'!$L$19:$Q$19</c:f>
                <c:numCache>
                  <c:formatCode>General</c:formatCode>
                  <c:ptCount val="6"/>
                  <c:pt idx="0">
                    <c:v>0.11786164850112446</c:v>
                  </c:pt>
                  <c:pt idx="1">
                    <c:v>0.32272235407835725</c:v>
                  </c:pt>
                  <c:pt idx="2">
                    <c:v>0.34747399143360824</c:v>
                  </c:pt>
                  <c:pt idx="3">
                    <c:v>2.101927887958936</c:v>
                  </c:pt>
                  <c:pt idx="4">
                    <c:v>1.0603372848529555</c:v>
                  </c:pt>
                  <c:pt idx="5">
                    <c:v>1.6577625680530099</c:v>
                  </c:pt>
                </c:numCache>
              </c:numRef>
            </c:minus>
          </c:errBars>
          <c:xVal>
            <c:numRef>
              <c:f>'N-Figures'!$L$14:$Q$14</c:f>
              <c:numCache>
                <c:formatCode>General</c:formatCode>
                <c:ptCount val="6"/>
                <c:pt idx="0">
                  <c:v>0</c:v>
                </c:pt>
                <c:pt idx="1">
                  <c:v>1</c:v>
                </c:pt>
                <c:pt idx="2">
                  <c:v>2</c:v>
                </c:pt>
                <c:pt idx="3">
                  <c:v>3</c:v>
                </c:pt>
                <c:pt idx="4">
                  <c:v>4</c:v>
                </c:pt>
                <c:pt idx="5">
                  <c:v>5</c:v>
                </c:pt>
              </c:numCache>
            </c:numRef>
          </c:xVal>
          <c:yVal>
            <c:numRef>
              <c:f>'N-Figures'!$L$15:$Q$15</c:f>
              <c:numCache>
                <c:formatCode>General</c:formatCode>
                <c:ptCount val="6"/>
                <c:pt idx="0">
                  <c:v>6.2037969613259651</c:v>
                </c:pt>
                <c:pt idx="1">
                  <c:v>6.4893107734806623</c:v>
                </c:pt>
                <c:pt idx="2">
                  <c:v>9.3381401933701618</c:v>
                </c:pt>
                <c:pt idx="3">
                  <c:v>16.758435082872925</c:v>
                </c:pt>
                <c:pt idx="4">
                  <c:v>24.695142265193368</c:v>
                </c:pt>
                <c:pt idx="5">
                  <c:v>22.947279944289694</c:v>
                </c:pt>
              </c:numCache>
            </c:numRef>
          </c:yVal>
          <c:smooth val="0"/>
          <c:extLst>
            <c:ext xmlns:c16="http://schemas.microsoft.com/office/drawing/2014/chart" uri="{C3380CC4-5D6E-409C-BE32-E72D297353CC}">
              <c16:uniqueId val="{00000000-2E92-4778-9B96-62C020E41267}"/>
            </c:ext>
          </c:extLst>
        </c:ser>
        <c:ser>
          <c:idx val="1"/>
          <c:order val="1"/>
          <c:tx>
            <c:strRef>
              <c:f>'N-Figures'!$K$16</c:f>
              <c:strCache>
                <c:ptCount val="1"/>
                <c:pt idx="0">
                  <c:v>Bac-N</c:v>
                </c:pt>
              </c:strCache>
            </c:strRef>
          </c:tx>
          <c:spPr>
            <a:ln w="28575">
              <a:noFill/>
            </a:ln>
          </c:spPr>
          <c:errBars>
            <c:errDir val="y"/>
            <c:errBarType val="both"/>
            <c:errValType val="cust"/>
            <c:noEndCap val="0"/>
            <c:plus>
              <c:numRef>
                <c:f>'N-Figures'!$L$20:$Q$20</c:f>
                <c:numCache>
                  <c:formatCode>General</c:formatCode>
                  <c:ptCount val="6"/>
                  <c:pt idx="0">
                    <c:v>5.1293254107858668E-4</c:v>
                  </c:pt>
                  <c:pt idx="1">
                    <c:v>3.7246925488981654E-2</c:v>
                  </c:pt>
                  <c:pt idx="2">
                    <c:v>9.8696308722174934E-3</c:v>
                  </c:pt>
                  <c:pt idx="3">
                    <c:v>2.1096015822415624E-2</c:v>
                  </c:pt>
                  <c:pt idx="4">
                    <c:v>1.0954115141813684E-2</c:v>
                  </c:pt>
                  <c:pt idx="5">
                    <c:v>2.2470100123002878E-3</c:v>
                  </c:pt>
                </c:numCache>
              </c:numRef>
            </c:plus>
            <c:minus>
              <c:numRef>
                <c:f>'N-Figures'!$L$20:$Q$20</c:f>
                <c:numCache>
                  <c:formatCode>General</c:formatCode>
                  <c:ptCount val="6"/>
                  <c:pt idx="0">
                    <c:v>5.1293254107858668E-4</c:v>
                  </c:pt>
                  <c:pt idx="1">
                    <c:v>3.7246925488981654E-2</c:v>
                  </c:pt>
                  <c:pt idx="2">
                    <c:v>9.8696308722174934E-3</c:v>
                  </c:pt>
                  <c:pt idx="3">
                    <c:v>2.1096015822415624E-2</c:v>
                  </c:pt>
                  <c:pt idx="4">
                    <c:v>1.0954115141813684E-2</c:v>
                  </c:pt>
                  <c:pt idx="5">
                    <c:v>2.2470100123002878E-3</c:v>
                  </c:pt>
                </c:numCache>
              </c:numRef>
            </c:minus>
          </c:errBars>
          <c:xVal>
            <c:numRef>
              <c:f>'N-Figures'!$L$14:$Q$14</c:f>
              <c:numCache>
                <c:formatCode>General</c:formatCode>
                <c:ptCount val="6"/>
                <c:pt idx="0">
                  <c:v>0</c:v>
                </c:pt>
                <c:pt idx="1">
                  <c:v>1</c:v>
                </c:pt>
                <c:pt idx="2">
                  <c:v>2</c:v>
                </c:pt>
                <c:pt idx="3">
                  <c:v>3</c:v>
                </c:pt>
                <c:pt idx="4">
                  <c:v>4</c:v>
                </c:pt>
                <c:pt idx="5">
                  <c:v>5</c:v>
                </c:pt>
              </c:numCache>
            </c:numRef>
          </c:xVal>
          <c:yVal>
            <c:numRef>
              <c:f>'N-Figures'!$L$16:$Q$16</c:f>
              <c:numCache>
                <c:formatCode>General</c:formatCode>
                <c:ptCount val="6"/>
                <c:pt idx="0">
                  <c:v>8.2412150303030299E-2</c:v>
                </c:pt>
                <c:pt idx="1">
                  <c:v>7.4492509306930701E-2</c:v>
                </c:pt>
                <c:pt idx="2">
                  <c:v>0.1520271944554456</c:v>
                </c:pt>
                <c:pt idx="3">
                  <c:v>0.22188353696969698</c:v>
                </c:pt>
                <c:pt idx="4">
                  <c:v>0.26168232237623762</c:v>
                </c:pt>
                <c:pt idx="5">
                  <c:v>0.2630694278787879</c:v>
                </c:pt>
              </c:numCache>
            </c:numRef>
          </c:yVal>
          <c:smooth val="0"/>
          <c:extLst>
            <c:ext xmlns:c16="http://schemas.microsoft.com/office/drawing/2014/chart" uri="{C3380CC4-5D6E-409C-BE32-E72D297353CC}">
              <c16:uniqueId val="{00000001-2E92-4778-9B96-62C020E41267}"/>
            </c:ext>
          </c:extLst>
        </c:ser>
        <c:ser>
          <c:idx val="2"/>
          <c:order val="2"/>
          <c:tx>
            <c:strRef>
              <c:f>'N-Figures'!$K$17</c:f>
              <c:strCache>
                <c:ptCount val="1"/>
                <c:pt idx="0">
                  <c:v>NH4</c:v>
                </c:pt>
              </c:strCache>
            </c:strRef>
          </c:tx>
          <c:spPr>
            <a:ln w="28575">
              <a:noFill/>
            </a:ln>
          </c:spPr>
          <c:errBars>
            <c:errDir val="y"/>
            <c:errBarType val="both"/>
            <c:errValType val="cust"/>
            <c:noEndCap val="0"/>
            <c:plus>
              <c:numRef>
                <c:f>'N-Figures'!$L$21:$Q$21</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plus>
            <c:minus>
              <c:numRef>
                <c:f>'N-Figures'!$L$21:$Q$21</c:f>
                <c:numCache>
                  <c:formatCode>General</c:formatCode>
                  <c:ptCount val="6"/>
                  <c:pt idx="0">
                    <c:v>4.3802627042326568E-3</c:v>
                  </c:pt>
                  <c:pt idx="1">
                    <c:v>1.6464069745214364E-2</c:v>
                  </c:pt>
                  <c:pt idx="2">
                    <c:v>1.077585596150449E-2</c:v>
                  </c:pt>
                  <c:pt idx="3">
                    <c:v>3.7724851756177305E-2</c:v>
                  </c:pt>
                  <c:pt idx="4">
                    <c:v>1.0892089948046026E-2</c:v>
                  </c:pt>
                  <c:pt idx="5">
                    <c:v>6.0511136019226405E-2</c:v>
                  </c:pt>
                </c:numCache>
              </c:numRef>
            </c:minus>
          </c:errBars>
          <c:xVal>
            <c:numRef>
              <c:f>'N-Figures'!$L$14:$Q$14</c:f>
              <c:numCache>
                <c:formatCode>General</c:formatCode>
                <c:ptCount val="6"/>
                <c:pt idx="0">
                  <c:v>0</c:v>
                </c:pt>
                <c:pt idx="1">
                  <c:v>1</c:v>
                </c:pt>
                <c:pt idx="2">
                  <c:v>2</c:v>
                </c:pt>
                <c:pt idx="3">
                  <c:v>3</c:v>
                </c:pt>
                <c:pt idx="4">
                  <c:v>4</c:v>
                </c:pt>
                <c:pt idx="5">
                  <c:v>5</c:v>
                </c:pt>
              </c:numCache>
            </c:numRef>
          </c:xVal>
          <c:yVal>
            <c:numRef>
              <c:f>'N-Figures'!$L$17:$Q$17</c:f>
              <c:numCache>
                <c:formatCode>General</c:formatCode>
                <c:ptCount val="6"/>
                <c:pt idx="0">
                  <c:v>0.24547361033706935</c:v>
                </c:pt>
                <c:pt idx="1">
                  <c:v>0</c:v>
                </c:pt>
                <c:pt idx="2">
                  <c:v>4.6837299867208838E-2</c:v>
                </c:pt>
                <c:pt idx="3">
                  <c:v>0.11764870215841321</c:v>
                </c:pt>
                <c:pt idx="4">
                  <c:v>9.9517723367080715E-2</c:v>
                </c:pt>
                <c:pt idx="5">
                  <c:v>0.1323077475407482</c:v>
                </c:pt>
              </c:numCache>
            </c:numRef>
          </c:yVal>
          <c:smooth val="0"/>
          <c:extLst>
            <c:ext xmlns:c16="http://schemas.microsoft.com/office/drawing/2014/chart" uri="{C3380CC4-5D6E-409C-BE32-E72D297353CC}">
              <c16:uniqueId val="{00000002-2E92-4778-9B96-62C020E41267}"/>
            </c:ext>
          </c:extLst>
        </c:ser>
        <c:dLbls>
          <c:showLegendKey val="0"/>
          <c:showVal val="0"/>
          <c:showCatName val="0"/>
          <c:showSerName val="0"/>
          <c:showPercent val="0"/>
          <c:showBubbleSize val="0"/>
        </c:dLbls>
        <c:axId val="123667968"/>
        <c:axId val="123669888"/>
      </c:scatterChart>
      <c:valAx>
        <c:axId val="123667968"/>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3669888"/>
        <c:crosses val="autoZero"/>
        <c:crossBetween val="midCat"/>
      </c:valAx>
      <c:valAx>
        <c:axId val="123669888"/>
        <c:scaling>
          <c:orientation val="minMax"/>
          <c:max val="50"/>
          <c:min val="0"/>
        </c:scaling>
        <c:delete val="0"/>
        <c:axPos val="l"/>
        <c:title>
          <c:tx>
            <c:rich>
              <a:bodyPr rot="-5400000" vert="horz"/>
              <a:lstStyle/>
              <a:p>
                <a:pPr>
                  <a:defRPr/>
                </a:pPr>
                <a:r>
                  <a:rPr lang="en-CA"/>
                  <a:t>N (uM)</a:t>
                </a:r>
              </a:p>
            </c:rich>
          </c:tx>
          <c:overlay val="0"/>
        </c:title>
        <c:numFmt formatCode="General" sourceLinked="1"/>
        <c:majorTickMark val="out"/>
        <c:minorTickMark val="none"/>
        <c:tickLblPos val="nextTo"/>
        <c:crossAx val="123667968"/>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errBars>
            <c:errBarType val="both"/>
            <c:errValType val="cust"/>
            <c:noEndCap val="0"/>
            <c:plus>
              <c:numRef>
                <c:f>'DC2'!$W$69:$W$70</c:f>
                <c:numCache>
                  <c:formatCode>General</c:formatCode>
                  <c:ptCount val="2"/>
                  <c:pt idx="0">
                    <c:v>4.7078699572245917</c:v>
                  </c:pt>
                  <c:pt idx="1">
                    <c:v>4.1299920239592733</c:v>
                  </c:pt>
                </c:numCache>
              </c:numRef>
            </c:plus>
            <c:minus>
              <c:numRef>
                <c:f>'DC2'!$W$69:$W$70</c:f>
                <c:numCache>
                  <c:formatCode>General</c:formatCode>
                  <c:ptCount val="2"/>
                  <c:pt idx="0">
                    <c:v>4.7078699572245917</c:v>
                  </c:pt>
                  <c:pt idx="1">
                    <c:v>4.1299920239592733</c:v>
                  </c:pt>
                </c:numCache>
              </c:numRef>
            </c:minus>
          </c:errBars>
          <c:cat>
            <c:strRef>
              <c:f>'DC2'!$U$69:$U$70</c:f>
              <c:strCache>
                <c:ptCount val="2"/>
                <c:pt idx="0">
                  <c:v>DC2+Bac+Lys</c:v>
                </c:pt>
                <c:pt idx="1">
                  <c:v>DC2+Bac and DC2+Lys</c:v>
                </c:pt>
              </c:strCache>
            </c:strRef>
          </c:cat>
          <c:val>
            <c:numRef>
              <c:f>'DC2'!$V$69:$V$70</c:f>
              <c:numCache>
                <c:formatCode>0.00</c:formatCode>
                <c:ptCount val="2"/>
                <c:pt idx="0">
                  <c:v>45.604605590524123</c:v>
                </c:pt>
                <c:pt idx="1">
                  <c:v>33.863745722977164</c:v>
                </c:pt>
              </c:numCache>
            </c:numRef>
          </c:val>
          <c:extLst>
            <c:ext xmlns:c16="http://schemas.microsoft.com/office/drawing/2014/chart" uri="{C3380CC4-5D6E-409C-BE32-E72D297353CC}">
              <c16:uniqueId val="{00000000-8CFE-40CC-8DAA-3FD4D18338D5}"/>
            </c:ext>
          </c:extLst>
        </c:ser>
        <c:dLbls>
          <c:showLegendKey val="0"/>
          <c:showVal val="0"/>
          <c:showCatName val="0"/>
          <c:showSerName val="0"/>
          <c:showPercent val="0"/>
          <c:showBubbleSize val="0"/>
        </c:dLbls>
        <c:gapWidth val="150"/>
        <c:axId val="86325888"/>
        <c:axId val="86348160"/>
      </c:barChart>
      <c:catAx>
        <c:axId val="86325888"/>
        <c:scaling>
          <c:orientation val="minMax"/>
        </c:scaling>
        <c:delete val="0"/>
        <c:axPos val="b"/>
        <c:numFmt formatCode="General" sourceLinked="0"/>
        <c:majorTickMark val="out"/>
        <c:minorTickMark val="none"/>
        <c:tickLblPos val="nextTo"/>
        <c:crossAx val="86348160"/>
        <c:crosses val="autoZero"/>
        <c:auto val="1"/>
        <c:lblAlgn val="ctr"/>
        <c:lblOffset val="100"/>
        <c:noMultiLvlLbl val="0"/>
      </c:catAx>
      <c:valAx>
        <c:axId val="86348160"/>
        <c:scaling>
          <c:orientation val="minMax"/>
        </c:scaling>
        <c:delete val="0"/>
        <c:axPos val="l"/>
        <c:numFmt formatCode="0.00" sourceLinked="1"/>
        <c:majorTickMark val="out"/>
        <c:minorTickMark val="none"/>
        <c:tickLblPos val="nextTo"/>
        <c:crossAx val="86325888"/>
        <c:crosses val="autoZero"/>
        <c:crossBetween val="between"/>
      </c:valAx>
    </c:plotArea>
    <c:plotVisOnly val="1"/>
    <c:dispBlanksAs val="gap"/>
    <c:showDLblsOverMax val="0"/>
  </c:chart>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DC2+Lys</a:t>
            </a:r>
          </a:p>
        </c:rich>
      </c:tx>
      <c:overlay val="1"/>
    </c:title>
    <c:autoTitleDeleted val="0"/>
    <c:plotArea>
      <c:layout/>
      <c:scatterChart>
        <c:scatterStyle val="lineMarker"/>
        <c:varyColors val="0"/>
        <c:ser>
          <c:idx val="0"/>
          <c:order val="0"/>
          <c:tx>
            <c:strRef>
              <c:f>'N-Figures'!$K$25</c:f>
              <c:strCache>
                <c:ptCount val="1"/>
                <c:pt idx="0">
                  <c:v>DC2-N</c:v>
                </c:pt>
              </c:strCache>
            </c:strRef>
          </c:tx>
          <c:spPr>
            <a:ln w="28575">
              <a:noFill/>
            </a:ln>
          </c:spPr>
          <c:errBars>
            <c:errDir val="y"/>
            <c:errBarType val="both"/>
            <c:errValType val="cust"/>
            <c:noEndCap val="0"/>
            <c:plus>
              <c:numRef>
                <c:f>'N-Figures'!$L$29:$Q$29</c:f>
                <c:numCache>
                  <c:formatCode>General</c:formatCode>
                  <c:ptCount val="6"/>
                  <c:pt idx="0">
                    <c:v>3.9373494424550778E-2</c:v>
                  </c:pt>
                  <c:pt idx="1">
                    <c:v>7.312675578965315E-2</c:v>
                  </c:pt>
                  <c:pt idx="2">
                    <c:v>1.103792857158856E-2</c:v>
                  </c:pt>
                  <c:pt idx="3">
                    <c:v>0.65307096901453454</c:v>
                  </c:pt>
                  <c:pt idx="4">
                    <c:v>0.92777513310872017</c:v>
                  </c:pt>
                  <c:pt idx="5">
                    <c:v>0.70283658240647373</c:v>
                  </c:pt>
                </c:numCache>
              </c:numRef>
            </c:plus>
            <c:minus>
              <c:numRef>
                <c:f>'N-Figures'!$L$29:$Q$29</c:f>
                <c:numCache>
                  <c:formatCode>General</c:formatCode>
                  <c:ptCount val="6"/>
                  <c:pt idx="0">
                    <c:v>3.9373494424550778E-2</c:v>
                  </c:pt>
                  <c:pt idx="1">
                    <c:v>7.312675578965315E-2</c:v>
                  </c:pt>
                  <c:pt idx="2">
                    <c:v>1.103792857158856E-2</c:v>
                  </c:pt>
                  <c:pt idx="3">
                    <c:v>0.65307096901453454</c:v>
                  </c:pt>
                  <c:pt idx="4">
                    <c:v>0.92777513310872017</c:v>
                  </c:pt>
                  <c:pt idx="5">
                    <c:v>0.70283658240647373</c:v>
                  </c:pt>
                </c:numCache>
              </c:numRef>
            </c:minus>
          </c:errBars>
          <c:xVal>
            <c:numRef>
              <c:f>'N-Figures'!$L$24:$Q$24</c:f>
              <c:numCache>
                <c:formatCode>General</c:formatCode>
                <c:ptCount val="6"/>
                <c:pt idx="0">
                  <c:v>0</c:v>
                </c:pt>
                <c:pt idx="1">
                  <c:v>1</c:v>
                </c:pt>
                <c:pt idx="2">
                  <c:v>2</c:v>
                </c:pt>
                <c:pt idx="3">
                  <c:v>3</c:v>
                </c:pt>
                <c:pt idx="4">
                  <c:v>4</c:v>
                </c:pt>
                <c:pt idx="5">
                  <c:v>5</c:v>
                </c:pt>
              </c:numCache>
            </c:numRef>
          </c:xVal>
          <c:yVal>
            <c:numRef>
              <c:f>'N-Figures'!$L$25:$Q$25</c:f>
              <c:numCache>
                <c:formatCode>General</c:formatCode>
                <c:ptCount val="6"/>
                <c:pt idx="0">
                  <c:v>5.9983135359116009</c:v>
                </c:pt>
                <c:pt idx="1">
                  <c:v>5.4691035911602199</c:v>
                </c:pt>
                <c:pt idx="2">
                  <c:v>6.0904205801104965</c:v>
                </c:pt>
                <c:pt idx="3">
                  <c:v>7.9990732044198873</c:v>
                </c:pt>
                <c:pt idx="4">
                  <c:v>12.582074585635358</c:v>
                </c:pt>
                <c:pt idx="5">
                  <c:v>15.770143454038996</c:v>
                </c:pt>
              </c:numCache>
            </c:numRef>
          </c:yVal>
          <c:smooth val="0"/>
          <c:extLst>
            <c:ext xmlns:c16="http://schemas.microsoft.com/office/drawing/2014/chart" uri="{C3380CC4-5D6E-409C-BE32-E72D297353CC}">
              <c16:uniqueId val="{00000000-68B8-4369-A609-86541B08B941}"/>
            </c:ext>
          </c:extLst>
        </c:ser>
        <c:ser>
          <c:idx val="1"/>
          <c:order val="1"/>
          <c:tx>
            <c:strRef>
              <c:f>'N-Figures'!$K$26</c:f>
              <c:strCache>
                <c:ptCount val="1"/>
                <c:pt idx="0">
                  <c:v>Bac-N</c:v>
                </c:pt>
              </c:strCache>
            </c:strRef>
          </c:tx>
          <c:spPr>
            <a:ln w="28575">
              <a:noFill/>
            </a:ln>
          </c:spPr>
          <c:errBars>
            <c:errDir val="y"/>
            <c:errBarType val="both"/>
            <c:errValType val="cust"/>
            <c:noEndCap val="0"/>
            <c:plus>
              <c:numRef>
                <c:f>'N-Figures'!$L$30:$Q$30</c:f>
                <c:numCache>
                  <c:formatCode>General</c:formatCode>
                  <c:ptCount val="6"/>
                  <c:pt idx="0">
                    <c:v>1.203441684323779E-3</c:v>
                  </c:pt>
                  <c:pt idx="1">
                    <c:v>7.377662943350824E-2</c:v>
                  </c:pt>
                  <c:pt idx="2">
                    <c:v>5.7995075829032558E-3</c:v>
                  </c:pt>
                  <c:pt idx="3">
                    <c:v>7.1422066572121162E-3</c:v>
                  </c:pt>
                  <c:pt idx="4">
                    <c:v>1.3357216765588318E-2</c:v>
                  </c:pt>
                  <c:pt idx="5">
                    <c:v>7.2028594569200606E-3</c:v>
                  </c:pt>
                </c:numCache>
              </c:numRef>
            </c:plus>
            <c:minus>
              <c:numRef>
                <c:f>'N-Figures'!$L$30:$Q$30</c:f>
                <c:numCache>
                  <c:formatCode>General</c:formatCode>
                  <c:ptCount val="6"/>
                  <c:pt idx="0">
                    <c:v>1.203441684323779E-3</c:v>
                  </c:pt>
                  <c:pt idx="1">
                    <c:v>7.377662943350824E-2</c:v>
                  </c:pt>
                  <c:pt idx="2">
                    <c:v>5.7995075829032558E-3</c:v>
                  </c:pt>
                  <c:pt idx="3">
                    <c:v>7.1422066572121162E-3</c:v>
                  </c:pt>
                  <c:pt idx="4">
                    <c:v>1.3357216765588318E-2</c:v>
                  </c:pt>
                  <c:pt idx="5">
                    <c:v>7.2028594569200606E-3</c:v>
                  </c:pt>
                </c:numCache>
              </c:numRef>
            </c:minus>
          </c:errBars>
          <c:xVal>
            <c:numRef>
              <c:f>'N-Figures'!$L$24:$Q$24</c:f>
              <c:numCache>
                <c:formatCode>General</c:formatCode>
                <c:ptCount val="6"/>
                <c:pt idx="0">
                  <c:v>0</c:v>
                </c:pt>
                <c:pt idx="1">
                  <c:v>1</c:v>
                </c:pt>
                <c:pt idx="2">
                  <c:v>2</c:v>
                </c:pt>
                <c:pt idx="3">
                  <c:v>3</c:v>
                </c:pt>
                <c:pt idx="4">
                  <c:v>4</c:v>
                </c:pt>
                <c:pt idx="5">
                  <c:v>5</c:v>
                </c:pt>
              </c:numCache>
            </c:numRef>
          </c:xVal>
          <c:yVal>
            <c:numRef>
              <c:f>'N-Figures'!$L$26:$Q$26</c:f>
              <c:numCache>
                <c:formatCode>General</c:formatCode>
                <c:ptCount val="6"/>
                <c:pt idx="0">
                  <c:v>6.736892363636364E-2</c:v>
                </c:pt>
                <c:pt idx="1">
                  <c:v>0.14751899405940594</c:v>
                </c:pt>
                <c:pt idx="2">
                  <c:v>0.28721926336633669</c:v>
                </c:pt>
                <c:pt idx="3">
                  <c:v>0.35048487272727274</c:v>
                </c:pt>
                <c:pt idx="4">
                  <c:v>0.39823466138613861</c:v>
                </c:pt>
                <c:pt idx="5">
                  <c:v>0.4235278545454545</c:v>
                </c:pt>
              </c:numCache>
            </c:numRef>
          </c:yVal>
          <c:smooth val="0"/>
          <c:extLst>
            <c:ext xmlns:c16="http://schemas.microsoft.com/office/drawing/2014/chart" uri="{C3380CC4-5D6E-409C-BE32-E72D297353CC}">
              <c16:uniqueId val="{00000001-68B8-4369-A609-86541B08B941}"/>
            </c:ext>
          </c:extLst>
        </c:ser>
        <c:ser>
          <c:idx val="2"/>
          <c:order val="2"/>
          <c:tx>
            <c:strRef>
              <c:f>'N-Figures'!$K$27</c:f>
              <c:strCache>
                <c:ptCount val="1"/>
                <c:pt idx="0">
                  <c:v>NH4</c:v>
                </c:pt>
              </c:strCache>
            </c:strRef>
          </c:tx>
          <c:spPr>
            <a:ln w="28575">
              <a:noFill/>
            </a:ln>
          </c:spPr>
          <c:errBars>
            <c:errDir val="y"/>
            <c:errBarType val="both"/>
            <c:errValType val="cust"/>
            <c:noEndCap val="0"/>
            <c:plus>
              <c:numRef>
                <c:f>'N-Figures'!$L$31:$Q$31</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plus>
            <c:minus>
              <c:numRef>
                <c:f>'N-Figures'!$L$31:$Q$31</c:f>
                <c:numCache>
                  <c:formatCode>General</c:formatCode>
                  <c:ptCount val="6"/>
                  <c:pt idx="0">
                    <c:v>2.1095154619593201E-2</c:v>
                  </c:pt>
                  <c:pt idx="1">
                    <c:v>7.7909310036772386E-2</c:v>
                  </c:pt>
                  <c:pt idx="2">
                    <c:v>0.13945235777594603</c:v>
                  </c:pt>
                  <c:pt idx="3">
                    <c:v>0.20316703852816373</c:v>
                  </c:pt>
                  <c:pt idx="4">
                    <c:v>8.7752842334164645E-3</c:v>
                  </c:pt>
                  <c:pt idx="5">
                    <c:v>1.5906875037278407E-2</c:v>
                  </c:pt>
                </c:numCache>
              </c:numRef>
            </c:minus>
          </c:errBars>
          <c:xVal>
            <c:numRef>
              <c:f>'N-Figures'!$L$24:$Q$24</c:f>
              <c:numCache>
                <c:formatCode>General</c:formatCode>
                <c:ptCount val="6"/>
                <c:pt idx="0">
                  <c:v>0</c:v>
                </c:pt>
                <c:pt idx="1">
                  <c:v>1</c:v>
                </c:pt>
                <c:pt idx="2">
                  <c:v>2</c:v>
                </c:pt>
                <c:pt idx="3">
                  <c:v>3</c:v>
                </c:pt>
                <c:pt idx="4">
                  <c:v>4</c:v>
                </c:pt>
                <c:pt idx="5">
                  <c:v>5</c:v>
                </c:pt>
              </c:numCache>
            </c:numRef>
          </c:xVal>
          <c:yVal>
            <c:numRef>
              <c:f>'N-Figures'!$L$27:$Q$27</c:f>
              <c:numCache>
                <c:formatCode>General</c:formatCode>
                <c:ptCount val="6"/>
                <c:pt idx="0">
                  <c:v>1.013460620196641</c:v>
                </c:pt>
                <c:pt idx="1">
                  <c:v>2.9559915252823514</c:v>
                </c:pt>
                <c:pt idx="2">
                  <c:v>0.41154830415820642</c:v>
                </c:pt>
                <c:pt idx="3">
                  <c:v>1.9011004899098587</c:v>
                </c:pt>
                <c:pt idx="4">
                  <c:v>0.14355687992149543</c:v>
                </c:pt>
                <c:pt idx="5">
                  <c:v>0.12500777865536969</c:v>
                </c:pt>
              </c:numCache>
            </c:numRef>
          </c:yVal>
          <c:smooth val="0"/>
          <c:extLst>
            <c:ext xmlns:c16="http://schemas.microsoft.com/office/drawing/2014/chart" uri="{C3380CC4-5D6E-409C-BE32-E72D297353CC}">
              <c16:uniqueId val="{00000002-68B8-4369-A609-86541B08B941}"/>
            </c:ext>
          </c:extLst>
        </c:ser>
        <c:dLbls>
          <c:showLegendKey val="0"/>
          <c:showVal val="0"/>
          <c:showCatName val="0"/>
          <c:showSerName val="0"/>
          <c:showPercent val="0"/>
          <c:showBubbleSize val="0"/>
        </c:dLbls>
        <c:axId val="123718272"/>
        <c:axId val="123720448"/>
      </c:scatterChart>
      <c:valAx>
        <c:axId val="123718272"/>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3720448"/>
        <c:crosses val="autoZero"/>
        <c:crossBetween val="midCat"/>
      </c:valAx>
      <c:valAx>
        <c:axId val="123720448"/>
        <c:scaling>
          <c:orientation val="minMax"/>
          <c:max val="50"/>
        </c:scaling>
        <c:delete val="0"/>
        <c:axPos val="l"/>
        <c:title>
          <c:tx>
            <c:rich>
              <a:bodyPr rot="-5400000" vert="horz"/>
              <a:lstStyle/>
              <a:p>
                <a:pPr>
                  <a:defRPr/>
                </a:pPr>
                <a:r>
                  <a:rPr lang="en-CA"/>
                  <a:t>N (uM)</a:t>
                </a:r>
              </a:p>
            </c:rich>
          </c:tx>
          <c:overlay val="0"/>
        </c:title>
        <c:numFmt formatCode="General" sourceLinked="1"/>
        <c:majorTickMark val="out"/>
        <c:minorTickMark val="none"/>
        <c:tickLblPos val="nextTo"/>
        <c:crossAx val="123718272"/>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DC2</a:t>
            </a:r>
          </a:p>
        </c:rich>
      </c:tx>
      <c:overlay val="1"/>
    </c:title>
    <c:autoTitleDeleted val="0"/>
    <c:plotArea>
      <c:layout/>
      <c:scatterChart>
        <c:scatterStyle val="lineMarker"/>
        <c:varyColors val="0"/>
        <c:ser>
          <c:idx val="0"/>
          <c:order val="0"/>
          <c:tx>
            <c:strRef>
              <c:f>'N-Figures'!$K$35</c:f>
              <c:strCache>
                <c:ptCount val="1"/>
                <c:pt idx="0">
                  <c:v>DC2-N</c:v>
                </c:pt>
              </c:strCache>
            </c:strRef>
          </c:tx>
          <c:spPr>
            <a:ln w="28575">
              <a:noFill/>
            </a:ln>
          </c:spPr>
          <c:errBars>
            <c:errDir val="y"/>
            <c:errBarType val="both"/>
            <c:errValType val="cust"/>
            <c:noEndCap val="0"/>
            <c:plus>
              <c:numRef>
                <c:f>'N-Figures'!$L$39:$Q$39</c:f>
                <c:numCache>
                  <c:formatCode>General</c:formatCode>
                  <c:ptCount val="6"/>
                  <c:pt idx="0">
                    <c:v>8.8208451309244734E-2</c:v>
                  </c:pt>
                  <c:pt idx="1">
                    <c:v>0.13914072608230596</c:v>
                  </c:pt>
                  <c:pt idx="2">
                    <c:v>0.24514130238430287</c:v>
                  </c:pt>
                  <c:pt idx="3">
                    <c:v>0.40561482494095835</c:v>
                  </c:pt>
                  <c:pt idx="4">
                    <c:v>0.22252317995497378</c:v>
                  </c:pt>
                  <c:pt idx="5">
                    <c:v>0.3381047149612566</c:v>
                  </c:pt>
                </c:numCache>
              </c:numRef>
            </c:plus>
            <c:minus>
              <c:numRef>
                <c:f>'N-Figures'!$L$39:$Q$39</c:f>
                <c:numCache>
                  <c:formatCode>General</c:formatCode>
                  <c:ptCount val="6"/>
                  <c:pt idx="0">
                    <c:v>8.8208451309244734E-2</c:v>
                  </c:pt>
                  <c:pt idx="1">
                    <c:v>0.13914072608230596</c:v>
                  </c:pt>
                  <c:pt idx="2">
                    <c:v>0.24514130238430287</c:v>
                  </c:pt>
                  <c:pt idx="3">
                    <c:v>0.40561482494095835</c:v>
                  </c:pt>
                  <c:pt idx="4">
                    <c:v>0.22252317995497378</c:v>
                  </c:pt>
                  <c:pt idx="5">
                    <c:v>0.3381047149612566</c:v>
                  </c:pt>
                </c:numCache>
              </c:numRef>
            </c:minus>
          </c:errBars>
          <c:xVal>
            <c:numRef>
              <c:f>'N-Figures'!$L$34:$Q$34</c:f>
              <c:numCache>
                <c:formatCode>General</c:formatCode>
                <c:ptCount val="6"/>
                <c:pt idx="0">
                  <c:v>0</c:v>
                </c:pt>
                <c:pt idx="1">
                  <c:v>1</c:v>
                </c:pt>
                <c:pt idx="2">
                  <c:v>2</c:v>
                </c:pt>
                <c:pt idx="3">
                  <c:v>3</c:v>
                </c:pt>
                <c:pt idx="4">
                  <c:v>4</c:v>
                </c:pt>
                <c:pt idx="5">
                  <c:v>5</c:v>
                </c:pt>
              </c:numCache>
            </c:numRef>
          </c:xVal>
          <c:yVal>
            <c:numRef>
              <c:f>'N-Figures'!$L$35:$Q$35</c:f>
              <c:numCache>
                <c:formatCode>General</c:formatCode>
                <c:ptCount val="6"/>
                <c:pt idx="0">
                  <c:v>5.9893011049723759</c:v>
                </c:pt>
                <c:pt idx="1">
                  <c:v>5.7138812154696135</c:v>
                </c:pt>
                <c:pt idx="2">
                  <c:v>5.143935082872928</c:v>
                </c:pt>
                <c:pt idx="3">
                  <c:v>4.9644074585635352</c:v>
                </c:pt>
                <c:pt idx="4">
                  <c:v>4.8367914364640887</c:v>
                </c:pt>
                <c:pt idx="5">
                  <c:v>5.4257465181058482</c:v>
                </c:pt>
              </c:numCache>
            </c:numRef>
          </c:yVal>
          <c:smooth val="0"/>
          <c:extLst>
            <c:ext xmlns:c16="http://schemas.microsoft.com/office/drawing/2014/chart" uri="{C3380CC4-5D6E-409C-BE32-E72D297353CC}">
              <c16:uniqueId val="{00000000-EE28-4375-A888-42FAFA7162C9}"/>
            </c:ext>
          </c:extLst>
        </c:ser>
        <c:ser>
          <c:idx val="1"/>
          <c:order val="1"/>
          <c:tx>
            <c:strRef>
              <c:f>'N-Figures'!$K$36</c:f>
              <c:strCache>
                <c:ptCount val="1"/>
                <c:pt idx="0">
                  <c:v>Bac-N</c:v>
                </c:pt>
              </c:strCache>
            </c:strRef>
          </c:tx>
          <c:spPr>
            <a:ln w="28575">
              <a:noFill/>
            </a:ln>
          </c:spPr>
          <c:errBars>
            <c:errDir val="y"/>
            <c:errBarType val="both"/>
            <c:errValType val="cust"/>
            <c:noEndCap val="0"/>
            <c:plus>
              <c:numRef>
                <c:f>'N-Figures'!$L$40:$Q$40</c:f>
                <c:numCache>
                  <c:formatCode>General</c:formatCode>
                  <c:ptCount val="6"/>
                  <c:pt idx="0">
                    <c:v>3.1361790114009226E-4</c:v>
                  </c:pt>
                  <c:pt idx="1">
                    <c:v>3.8998885995484081E-2</c:v>
                  </c:pt>
                  <c:pt idx="2">
                    <c:v>6.483175794374775E-3</c:v>
                  </c:pt>
                  <c:pt idx="3">
                    <c:v>1.1888004933414716E-2</c:v>
                  </c:pt>
                  <c:pt idx="4">
                    <c:v>1.272361726464246E-2</c:v>
                  </c:pt>
                  <c:pt idx="5">
                    <c:v>1.3420840482232474E-2</c:v>
                  </c:pt>
                </c:numCache>
              </c:numRef>
            </c:plus>
            <c:minus>
              <c:numRef>
                <c:f>'N-Figures'!$L$40:$Q$40</c:f>
                <c:numCache>
                  <c:formatCode>General</c:formatCode>
                  <c:ptCount val="6"/>
                  <c:pt idx="0">
                    <c:v>3.1361790114009226E-4</c:v>
                  </c:pt>
                  <c:pt idx="1">
                    <c:v>3.8998885995484081E-2</c:v>
                  </c:pt>
                  <c:pt idx="2">
                    <c:v>6.483175794374775E-3</c:v>
                  </c:pt>
                  <c:pt idx="3">
                    <c:v>1.1888004933414716E-2</c:v>
                  </c:pt>
                  <c:pt idx="4">
                    <c:v>1.272361726464246E-2</c:v>
                  </c:pt>
                  <c:pt idx="5">
                    <c:v>1.3420840482232474E-2</c:v>
                  </c:pt>
                </c:numCache>
              </c:numRef>
            </c:minus>
          </c:errBars>
          <c:xVal>
            <c:numRef>
              <c:f>'N-Figures'!$L$34:$Q$34</c:f>
              <c:numCache>
                <c:formatCode>General</c:formatCode>
                <c:ptCount val="6"/>
                <c:pt idx="0">
                  <c:v>0</c:v>
                </c:pt>
                <c:pt idx="1">
                  <c:v>1</c:v>
                </c:pt>
                <c:pt idx="2">
                  <c:v>2</c:v>
                </c:pt>
                <c:pt idx="3">
                  <c:v>3</c:v>
                </c:pt>
                <c:pt idx="4">
                  <c:v>4</c:v>
                </c:pt>
                <c:pt idx="5">
                  <c:v>5</c:v>
                </c:pt>
              </c:numCache>
            </c:numRef>
          </c:xVal>
          <c:yVal>
            <c:numRef>
              <c:f>'N-Figures'!$L$36:$Q$36</c:f>
              <c:numCache>
                <c:formatCode>General</c:formatCode>
                <c:ptCount val="6"/>
                <c:pt idx="0">
                  <c:v>6.8557786666666662E-2</c:v>
                </c:pt>
                <c:pt idx="1">
                  <c:v>7.7993719603960412E-2</c:v>
                </c:pt>
                <c:pt idx="2">
                  <c:v>0.14332373940594059</c:v>
                </c:pt>
                <c:pt idx="3">
                  <c:v>0.15962267636363633</c:v>
                </c:pt>
                <c:pt idx="4">
                  <c:v>0.16351507960396039</c:v>
                </c:pt>
                <c:pt idx="5">
                  <c:v>0.17386974060606061</c:v>
                </c:pt>
              </c:numCache>
            </c:numRef>
          </c:yVal>
          <c:smooth val="0"/>
          <c:extLst>
            <c:ext xmlns:c16="http://schemas.microsoft.com/office/drawing/2014/chart" uri="{C3380CC4-5D6E-409C-BE32-E72D297353CC}">
              <c16:uniqueId val="{00000001-EE28-4375-A888-42FAFA7162C9}"/>
            </c:ext>
          </c:extLst>
        </c:ser>
        <c:ser>
          <c:idx val="2"/>
          <c:order val="2"/>
          <c:tx>
            <c:strRef>
              <c:f>'N-Figures'!$K$37</c:f>
              <c:strCache>
                <c:ptCount val="1"/>
                <c:pt idx="0">
                  <c:v>NH4</c:v>
                </c:pt>
              </c:strCache>
            </c:strRef>
          </c:tx>
          <c:spPr>
            <a:ln w="28575">
              <a:noFill/>
            </a:ln>
          </c:spPr>
          <c:errBars>
            <c:errDir val="y"/>
            <c:errBarType val="both"/>
            <c:errValType val="cust"/>
            <c:noEndCap val="0"/>
            <c:plus>
              <c:numRef>
                <c:f>'N-Figures'!$L$41:$Q$41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plus>
            <c:minus>
              <c:numRef>
                <c:f>'N-Figures'!$L$41:$Q$41</c:f>
                <c:numCache>
                  <c:formatCode>General</c:formatCode>
                  <c:ptCount val="6"/>
                  <c:pt idx="0">
                    <c:v>1.1532782540236809E-2</c:v>
                  </c:pt>
                  <c:pt idx="1">
                    <c:v>3.5725871000934224E-2</c:v>
                  </c:pt>
                  <c:pt idx="2">
                    <c:v>9.3550276755087029E-3</c:v>
                  </c:pt>
                  <c:pt idx="3">
                    <c:v>3.0876921726658152E-2</c:v>
                  </c:pt>
                  <c:pt idx="4">
                    <c:v>4.2142765333045798E-2</c:v>
                  </c:pt>
                  <c:pt idx="5">
                    <c:v>2.0171325339211042E-2</c:v>
                  </c:pt>
                </c:numCache>
              </c:numRef>
            </c:minus>
          </c:errBars>
          <c:xVal>
            <c:numRef>
              <c:f>'N-Figures'!$L$34:$Q$34</c:f>
              <c:numCache>
                <c:formatCode>General</c:formatCode>
                <c:ptCount val="6"/>
                <c:pt idx="0">
                  <c:v>0</c:v>
                </c:pt>
                <c:pt idx="1">
                  <c:v>1</c:v>
                </c:pt>
                <c:pt idx="2">
                  <c:v>2</c:v>
                </c:pt>
                <c:pt idx="3">
                  <c:v>3</c:v>
                </c:pt>
                <c:pt idx="4">
                  <c:v>4</c:v>
                </c:pt>
                <c:pt idx="5">
                  <c:v>5</c:v>
                </c:pt>
              </c:numCache>
            </c:numRef>
          </c:xVal>
          <c:yVal>
            <c:numRef>
              <c:f>'N-Figures'!$L$37:$Q$37</c:f>
              <c:numCache>
                <c:formatCode>General</c:formatCode>
                <c:ptCount val="6"/>
                <c:pt idx="0">
                  <c:v>0.4191341741146683</c:v>
                </c:pt>
                <c:pt idx="1">
                  <c:v>8.2097438326713661E-3</c:v>
                </c:pt>
                <c:pt idx="2">
                  <c:v>5.0139877942218643E-2</c:v>
                </c:pt>
                <c:pt idx="3">
                  <c:v>0.10647402494868152</c:v>
                </c:pt>
                <c:pt idx="4">
                  <c:v>0.2135647782484861</c:v>
                </c:pt>
                <c:pt idx="5">
                  <c:v>0.10921112467389484</c:v>
                </c:pt>
              </c:numCache>
            </c:numRef>
          </c:yVal>
          <c:smooth val="0"/>
          <c:extLst>
            <c:ext xmlns:c16="http://schemas.microsoft.com/office/drawing/2014/chart" uri="{C3380CC4-5D6E-409C-BE32-E72D297353CC}">
              <c16:uniqueId val="{00000002-EE28-4375-A888-42FAFA7162C9}"/>
            </c:ext>
          </c:extLst>
        </c:ser>
        <c:dLbls>
          <c:showLegendKey val="0"/>
          <c:showVal val="0"/>
          <c:showCatName val="0"/>
          <c:showSerName val="0"/>
          <c:showPercent val="0"/>
          <c:showBubbleSize val="0"/>
        </c:dLbls>
        <c:axId val="129208320"/>
        <c:axId val="129210240"/>
      </c:scatterChart>
      <c:valAx>
        <c:axId val="129208320"/>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9210240"/>
        <c:crosses val="autoZero"/>
        <c:crossBetween val="midCat"/>
      </c:valAx>
      <c:valAx>
        <c:axId val="129210240"/>
        <c:scaling>
          <c:orientation val="minMax"/>
          <c:max val="50"/>
          <c:min val="0"/>
        </c:scaling>
        <c:delete val="0"/>
        <c:axPos val="l"/>
        <c:title>
          <c:tx>
            <c:rich>
              <a:bodyPr rot="-5400000" vert="horz"/>
              <a:lstStyle/>
              <a:p>
                <a:pPr>
                  <a:defRPr/>
                </a:pPr>
                <a:r>
                  <a:rPr lang="en-CA"/>
                  <a:t>N</a:t>
                </a:r>
                <a:r>
                  <a:rPr lang="en-CA" baseline="0"/>
                  <a:t> </a:t>
                </a:r>
                <a:r>
                  <a:rPr lang="en-CA"/>
                  <a:t>(uM)</a:t>
                </a:r>
              </a:p>
            </c:rich>
          </c:tx>
          <c:overlay val="0"/>
        </c:title>
        <c:numFmt formatCode="General" sourceLinked="1"/>
        <c:majorTickMark val="out"/>
        <c:minorTickMark val="none"/>
        <c:tickLblPos val="nextTo"/>
        <c:crossAx val="129208320"/>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Bac</a:t>
            </a:r>
          </a:p>
        </c:rich>
      </c:tx>
      <c:overlay val="1"/>
    </c:title>
    <c:autoTitleDeleted val="0"/>
    <c:plotArea>
      <c:layout/>
      <c:scatterChart>
        <c:scatterStyle val="lineMarker"/>
        <c:varyColors val="0"/>
        <c:ser>
          <c:idx val="0"/>
          <c:order val="0"/>
          <c:tx>
            <c:strRef>
              <c:f>'N-Figures'!$K$45</c:f>
              <c:strCache>
                <c:ptCount val="1"/>
              </c:strCache>
            </c:strRef>
          </c:tx>
          <c:spPr>
            <a:ln w="28575">
              <a:noFill/>
            </a:ln>
          </c:spPr>
          <c:xVal>
            <c:numRef>
              <c:f>'N-Figures'!$L$44:$Q$44</c:f>
              <c:numCache>
                <c:formatCode>General</c:formatCode>
                <c:ptCount val="6"/>
                <c:pt idx="0">
                  <c:v>0</c:v>
                </c:pt>
                <c:pt idx="1">
                  <c:v>1</c:v>
                </c:pt>
                <c:pt idx="2">
                  <c:v>2</c:v>
                </c:pt>
                <c:pt idx="3">
                  <c:v>3</c:v>
                </c:pt>
                <c:pt idx="4">
                  <c:v>4</c:v>
                </c:pt>
                <c:pt idx="5">
                  <c:v>5</c:v>
                </c:pt>
              </c:numCache>
            </c:numRef>
          </c:xVal>
          <c:yVal>
            <c:numRef>
              <c:f>'N-Figures'!$L$45:$Q$45</c:f>
              <c:numCache>
                <c:formatCode>General</c:formatCode>
                <c:ptCount val="6"/>
              </c:numCache>
            </c:numRef>
          </c:yVal>
          <c:smooth val="0"/>
          <c:extLst>
            <c:ext xmlns:c16="http://schemas.microsoft.com/office/drawing/2014/chart" uri="{C3380CC4-5D6E-409C-BE32-E72D297353CC}">
              <c16:uniqueId val="{00000000-641A-4326-9F36-14AFC585BC21}"/>
            </c:ext>
          </c:extLst>
        </c:ser>
        <c:ser>
          <c:idx val="1"/>
          <c:order val="1"/>
          <c:tx>
            <c:strRef>
              <c:f>'N-Figures'!$K$46</c:f>
              <c:strCache>
                <c:ptCount val="1"/>
                <c:pt idx="0">
                  <c:v>Bac-N</c:v>
                </c:pt>
              </c:strCache>
            </c:strRef>
          </c:tx>
          <c:spPr>
            <a:ln w="28575">
              <a:noFill/>
            </a:ln>
          </c:spPr>
          <c:errBars>
            <c:errDir val="y"/>
            <c:errBarType val="both"/>
            <c:errValType val="cust"/>
            <c:noEndCap val="0"/>
            <c:plus>
              <c:numRef>
                <c:f>'N-Figures'!$L$49:$Q$49</c:f>
                <c:numCache>
                  <c:formatCode>General</c:formatCode>
                  <c:ptCount val="6"/>
                  <c:pt idx="0">
                    <c:v>4.5163713804647449E-4</c:v>
                  </c:pt>
                  <c:pt idx="1">
                    <c:v>6.9453297408427431E-3</c:v>
                  </c:pt>
                  <c:pt idx="2">
                    <c:v>1.3138690704930529E-3</c:v>
                  </c:pt>
                  <c:pt idx="3">
                    <c:v>3.412471455872413E-3</c:v>
                  </c:pt>
                  <c:pt idx="4">
                    <c:v>3.7672460897601756E-3</c:v>
                  </c:pt>
                  <c:pt idx="5">
                    <c:v>3.418139623716353E-3</c:v>
                  </c:pt>
                </c:numCache>
              </c:numRef>
            </c:plus>
            <c:minus>
              <c:numRef>
                <c:f>'N-Figures'!$L$49:$Q$49</c:f>
                <c:numCache>
                  <c:formatCode>General</c:formatCode>
                  <c:ptCount val="6"/>
                  <c:pt idx="0">
                    <c:v>4.5163713804647449E-4</c:v>
                  </c:pt>
                  <c:pt idx="1">
                    <c:v>6.9453297408427431E-3</c:v>
                  </c:pt>
                  <c:pt idx="2">
                    <c:v>1.3138690704930529E-3</c:v>
                  </c:pt>
                  <c:pt idx="3">
                    <c:v>3.412471455872413E-3</c:v>
                  </c:pt>
                  <c:pt idx="4">
                    <c:v>3.7672460897601756E-3</c:v>
                  </c:pt>
                  <c:pt idx="5">
                    <c:v>3.418139623716353E-3</c:v>
                  </c:pt>
                </c:numCache>
              </c:numRef>
            </c:minus>
          </c:errBars>
          <c:xVal>
            <c:numRef>
              <c:f>'N-Figures'!$L$44:$Q$44</c:f>
              <c:numCache>
                <c:formatCode>General</c:formatCode>
                <c:ptCount val="6"/>
                <c:pt idx="0">
                  <c:v>0</c:v>
                </c:pt>
                <c:pt idx="1">
                  <c:v>1</c:v>
                </c:pt>
                <c:pt idx="2">
                  <c:v>2</c:v>
                </c:pt>
                <c:pt idx="3">
                  <c:v>3</c:v>
                </c:pt>
                <c:pt idx="4">
                  <c:v>4</c:v>
                </c:pt>
                <c:pt idx="5">
                  <c:v>5</c:v>
                </c:pt>
              </c:numCache>
            </c:numRef>
          </c:xVal>
          <c:yVal>
            <c:numRef>
              <c:f>'N-Figures'!$L$46:$Q$46</c:f>
              <c:numCache>
                <c:formatCode>General</c:formatCode>
                <c:ptCount val="6"/>
                <c:pt idx="0">
                  <c:v>1.7303527272727274E-2</c:v>
                </c:pt>
                <c:pt idx="1">
                  <c:v>1.3889249108910892E-2</c:v>
                </c:pt>
                <c:pt idx="2">
                  <c:v>3.3071631683168311E-2</c:v>
                </c:pt>
                <c:pt idx="3">
                  <c:v>4.0280109090909094E-2</c:v>
                </c:pt>
                <c:pt idx="4">
                  <c:v>4.3164541782178219E-2</c:v>
                </c:pt>
                <c:pt idx="5">
                  <c:v>4.7042276363636372E-2</c:v>
                </c:pt>
              </c:numCache>
            </c:numRef>
          </c:yVal>
          <c:smooth val="0"/>
          <c:extLst>
            <c:ext xmlns:c16="http://schemas.microsoft.com/office/drawing/2014/chart" uri="{C3380CC4-5D6E-409C-BE32-E72D297353CC}">
              <c16:uniqueId val="{00000001-641A-4326-9F36-14AFC585BC21}"/>
            </c:ext>
          </c:extLst>
        </c:ser>
        <c:ser>
          <c:idx val="2"/>
          <c:order val="2"/>
          <c:tx>
            <c:strRef>
              <c:f>'N-Figures'!$K$47</c:f>
              <c:strCache>
                <c:ptCount val="1"/>
                <c:pt idx="0">
                  <c:v>NH4</c:v>
                </c:pt>
              </c:strCache>
            </c:strRef>
          </c:tx>
          <c:spPr>
            <a:ln w="28575">
              <a:noFill/>
            </a:ln>
          </c:spPr>
          <c:errBars>
            <c:errDir val="y"/>
            <c:errBarType val="both"/>
            <c:errValType val="cust"/>
            <c:noEndCap val="0"/>
            <c:plus>
              <c:numRef>
                <c:f>'N-Figures'!$L$50:$Q$50</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plus>
            <c:minus>
              <c:numRef>
                <c:f>'N-Figures'!$L$50:$Q$50</c:f>
                <c:numCache>
                  <c:formatCode>General</c:formatCode>
                  <c:ptCount val="6"/>
                  <c:pt idx="0">
                    <c:v>0.11503955604264465</c:v>
                  </c:pt>
                  <c:pt idx="1">
                    <c:v>0.15978660332914785</c:v>
                  </c:pt>
                  <c:pt idx="2">
                    <c:v>1.070047011274013E-2</c:v>
                  </c:pt>
                  <c:pt idx="3">
                    <c:v>1.7365087719919573E-2</c:v>
                  </c:pt>
                  <c:pt idx="4">
                    <c:v>1.608415080195439E-2</c:v>
                  </c:pt>
                  <c:pt idx="5">
                    <c:v>2.5939496752643409E-2</c:v>
                  </c:pt>
                </c:numCache>
              </c:numRef>
            </c:minus>
          </c:errBars>
          <c:xVal>
            <c:numRef>
              <c:f>'N-Figures'!$L$44:$Q$44</c:f>
              <c:numCache>
                <c:formatCode>General</c:formatCode>
                <c:ptCount val="6"/>
                <c:pt idx="0">
                  <c:v>0</c:v>
                </c:pt>
                <c:pt idx="1">
                  <c:v>1</c:v>
                </c:pt>
                <c:pt idx="2">
                  <c:v>2</c:v>
                </c:pt>
                <c:pt idx="3">
                  <c:v>3</c:v>
                </c:pt>
                <c:pt idx="4">
                  <c:v>4</c:v>
                </c:pt>
                <c:pt idx="5">
                  <c:v>5</c:v>
                </c:pt>
              </c:numCache>
            </c:numRef>
          </c:xVal>
          <c:yVal>
            <c:numRef>
              <c:f>'N-Figures'!$L$47:$Q$47</c:f>
              <c:numCache>
                <c:formatCode>General</c:formatCode>
                <c:ptCount val="6"/>
                <c:pt idx="0">
                  <c:v>0.45388004761216721</c:v>
                </c:pt>
                <c:pt idx="1">
                  <c:v>0.14230587034945161</c:v>
                </c:pt>
                <c:pt idx="2">
                  <c:v>0.53967827385252598</c:v>
                </c:pt>
                <c:pt idx="3">
                  <c:v>0.12918777101628831</c:v>
                </c:pt>
                <c:pt idx="4">
                  <c:v>0.12022091381249851</c:v>
                </c:pt>
                <c:pt idx="5">
                  <c:v>0.16928627845192792</c:v>
                </c:pt>
              </c:numCache>
            </c:numRef>
          </c:yVal>
          <c:smooth val="0"/>
          <c:extLst>
            <c:ext xmlns:c16="http://schemas.microsoft.com/office/drawing/2014/chart" uri="{C3380CC4-5D6E-409C-BE32-E72D297353CC}">
              <c16:uniqueId val="{00000002-641A-4326-9F36-14AFC585BC21}"/>
            </c:ext>
          </c:extLst>
        </c:ser>
        <c:dLbls>
          <c:showLegendKey val="0"/>
          <c:showVal val="0"/>
          <c:showCatName val="0"/>
          <c:showSerName val="0"/>
          <c:showPercent val="0"/>
          <c:showBubbleSize val="0"/>
        </c:dLbls>
        <c:axId val="129241856"/>
        <c:axId val="129243776"/>
      </c:scatterChart>
      <c:valAx>
        <c:axId val="129241856"/>
        <c:scaling>
          <c:orientation val="minMax"/>
        </c:scaling>
        <c:delete val="0"/>
        <c:axPos val="b"/>
        <c:title>
          <c:tx>
            <c:rich>
              <a:bodyPr/>
              <a:lstStyle/>
              <a:p>
                <a:pPr>
                  <a:defRPr/>
                </a:pPr>
                <a:r>
                  <a:rPr lang="en-CA"/>
                  <a:t>Time (d)</a:t>
                </a:r>
              </a:p>
            </c:rich>
          </c:tx>
          <c:overlay val="0"/>
        </c:title>
        <c:numFmt formatCode="General" sourceLinked="1"/>
        <c:majorTickMark val="none"/>
        <c:minorTickMark val="none"/>
        <c:tickLblPos val="nextTo"/>
        <c:crossAx val="129243776"/>
        <c:crosses val="autoZero"/>
        <c:crossBetween val="midCat"/>
      </c:valAx>
      <c:valAx>
        <c:axId val="129243776"/>
        <c:scaling>
          <c:orientation val="minMax"/>
          <c:max val="50"/>
          <c:min val="0"/>
        </c:scaling>
        <c:delete val="0"/>
        <c:axPos val="l"/>
        <c:title>
          <c:tx>
            <c:rich>
              <a:bodyPr/>
              <a:lstStyle/>
              <a:p>
                <a:pPr>
                  <a:defRPr/>
                </a:pPr>
                <a:r>
                  <a:rPr lang="en-CA"/>
                  <a:t>N (uM)</a:t>
                </a:r>
              </a:p>
            </c:rich>
          </c:tx>
          <c:overlay val="0"/>
        </c:title>
        <c:numFmt formatCode="General" sourceLinked="1"/>
        <c:majorTickMark val="none"/>
        <c:minorTickMark val="none"/>
        <c:tickLblPos val="nextTo"/>
        <c:crossAx val="129241856"/>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CA"/>
              <a:t>Bac+Lys</a:t>
            </a:r>
          </a:p>
        </c:rich>
      </c:tx>
      <c:overlay val="1"/>
    </c:title>
    <c:autoTitleDeleted val="0"/>
    <c:plotArea>
      <c:layout/>
      <c:scatterChart>
        <c:scatterStyle val="lineMarker"/>
        <c:varyColors val="0"/>
        <c:ser>
          <c:idx val="0"/>
          <c:order val="0"/>
          <c:tx>
            <c:strRef>
              <c:f>'N-Figures'!$K$54</c:f>
              <c:strCache>
                <c:ptCount val="1"/>
              </c:strCache>
            </c:strRef>
          </c:tx>
          <c:spPr>
            <a:ln w="28575">
              <a:noFill/>
            </a:ln>
          </c:spPr>
          <c:xVal>
            <c:numRef>
              <c:f>'N-Figures'!$L$53:$Q$53</c:f>
              <c:numCache>
                <c:formatCode>General</c:formatCode>
                <c:ptCount val="6"/>
                <c:pt idx="0">
                  <c:v>0</c:v>
                </c:pt>
                <c:pt idx="1">
                  <c:v>1</c:v>
                </c:pt>
                <c:pt idx="2">
                  <c:v>2</c:v>
                </c:pt>
                <c:pt idx="3">
                  <c:v>3</c:v>
                </c:pt>
                <c:pt idx="4">
                  <c:v>4</c:v>
                </c:pt>
                <c:pt idx="5">
                  <c:v>5</c:v>
                </c:pt>
              </c:numCache>
            </c:numRef>
          </c:xVal>
          <c:yVal>
            <c:numRef>
              <c:f>'N-Figures'!$L$54:$Q$54</c:f>
              <c:numCache>
                <c:formatCode>General</c:formatCode>
                <c:ptCount val="6"/>
              </c:numCache>
            </c:numRef>
          </c:yVal>
          <c:smooth val="0"/>
          <c:extLst>
            <c:ext xmlns:c16="http://schemas.microsoft.com/office/drawing/2014/chart" uri="{C3380CC4-5D6E-409C-BE32-E72D297353CC}">
              <c16:uniqueId val="{00000000-81E2-4E3D-B5C3-539CE24A4FB3}"/>
            </c:ext>
          </c:extLst>
        </c:ser>
        <c:ser>
          <c:idx val="1"/>
          <c:order val="1"/>
          <c:tx>
            <c:strRef>
              <c:f>'N-Figures'!$K$55</c:f>
              <c:strCache>
                <c:ptCount val="1"/>
                <c:pt idx="0">
                  <c:v>Bac-N</c:v>
                </c:pt>
              </c:strCache>
            </c:strRef>
          </c:tx>
          <c:spPr>
            <a:ln w="28575">
              <a:noFill/>
            </a:ln>
          </c:spPr>
          <c:errBars>
            <c:errDir val="y"/>
            <c:errBarType val="both"/>
            <c:errValType val="cust"/>
            <c:noEndCap val="0"/>
            <c:plus>
              <c:numRef>
                <c:f>'N-Figures'!$L$58:$Q$58</c:f>
                <c:numCache>
                  <c:formatCode>General</c:formatCode>
                  <c:ptCount val="6"/>
                  <c:pt idx="0">
                    <c:v>9.5885799015770358E-5</c:v>
                  </c:pt>
                  <c:pt idx="1">
                    <c:v>2.143321973123841E-2</c:v>
                  </c:pt>
                  <c:pt idx="2">
                    <c:v>2.4694094625347719E-3</c:v>
                  </c:pt>
                  <c:pt idx="3">
                    <c:v>7.0303409932935199E-3</c:v>
                  </c:pt>
                  <c:pt idx="4">
                    <c:v>9.8443609429155008E-3</c:v>
                  </c:pt>
                  <c:pt idx="5">
                    <c:v>6.2099751241864497E-3</c:v>
                  </c:pt>
                </c:numCache>
              </c:numRef>
            </c:plus>
            <c:minus>
              <c:numRef>
                <c:f>'N-Figures'!$L$58:$Q$58</c:f>
                <c:numCache>
                  <c:formatCode>General</c:formatCode>
                  <c:ptCount val="6"/>
                  <c:pt idx="0">
                    <c:v>9.5885799015770358E-5</c:v>
                  </c:pt>
                  <c:pt idx="1">
                    <c:v>2.143321973123841E-2</c:v>
                  </c:pt>
                  <c:pt idx="2">
                    <c:v>2.4694094625347719E-3</c:v>
                  </c:pt>
                  <c:pt idx="3">
                    <c:v>7.0303409932935199E-3</c:v>
                  </c:pt>
                  <c:pt idx="4">
                    <c:v>9.8443609429155008E-3</c:v>
                  </c:pt>
                  <c:pt idx="5">
                    <c:v>6.2099751241864497E-3</c:v>
                  </c:pt>
                </c:numCache>
              </c:numRef>
            </c:minus>
          </c:errBars>
          <c:xVal>
            <c:numRef>
              <c:f>'N-Figures'!$L$53:$Q$53</c:f>
              <c:numCache>
                <c:formatCode>General</c:formatCode>
                <c:ptCount val="6"/>
                <c:pt idx="0">
                  <c:v>0</c:v>
                </c:pt>
                <c:pt idx="1">
                  <c:v>1</c:v>
                </c:pt>
                <c:pt idx="2">
                  <c:v>2</c:v>
                </c:pt>
                <c:pt idx="3">
                  <c:v>3</c:v>
                </c:pt>
                <c:pt idx="4">
                  <c:v>4</c:v>
                </c:pt>
                <c:pt idx="5">
                  <c:v>5</c:v>
                </c:pt>
              </c:numCache>
            </c:numRef>
          </c:xVal>
          <c:yVal>
            <c:numRef>
              <c:f>'N-Figures'!$L$55:$Q$55</c:f>
              <c:numCache>
                <c:formatCode>General</c:formatCode>
                <c:ptCount val="6"/>
                <c:pt idx="0">
                  <c:v>1.7590734545454546E-2</c:v>
                </c:pt>
                <c:pt idx="1">
                  <c:v>4.2860723168316836E-2</c:v>
                </c:pt>
                <c:pt idx="2">
                  <c:v>0.50518067168316827</c:v>
                </c:pt>
                <c:pt idx="3">
                  <c:v>0.58055680000000009</c:v>
                </c:pt>
                <c:pt idx="4">
                  <c:v>0.55970591999999997</c:v>
                </c:pt>
                <c:pt idx="5">
                  <c:v>0.54479522909090916</c:v>
                </c:pt>
              </c:numCache>
            </c:numRef>
          </c:yVal>
          <c:smooth val="0"/>
          <c:extLst>
            <c:ext xmlns:c16="http://schemas.microsoft.com/office/drawing/2014/chart" uri="{C3380CC4-5D6E-409C-BE32-E72D297353CC}">
              <c16:uniqueId val="{00000001-81E2-4E3D-B5C3-539CE24A4FB3}"/>
            </c:ext>
          </c:extLst>
        </c:ser>
        <c:ser>
          <c:idx val="2"/>
          <c:order val="2"/>
          <c:tx>
            <c:strRef>
              <c:f>'N-Figures'!$K$56</c:f>
              <c:strCache>
                <c:ptCount val="1"/>
                <c:pt idx="0">
                  <c:v>NH4</c:v>
                </c:pt>
              </c:strCache>
            </c:strRef>
          </c:tx>
          <c:spPr>
            <a:ln w="28575">
              <a:noFill/>
            </a:ln>
          </c:spPr>
          <c:errBars>
            <c:errDir val="y"/>
            <c:errBarType val="both"/>
            <c:errValType val="cust"/>
            <c:noEndCap val="0"/>
            <c:plus>
              <c:numRef>
                <c:f>'N-Figures'!$L$59:$Q$59</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plus>
            <c:minus>
              <c:numRef>
                <c:f>'N-Figures'!$L$59:$Q$59</c:f>
                <c:numCache>
                  <c:formatCode>General</c:formatCode>
                  <c:ptCount val="6"/>
                  <c:pt idx="0">
                    <c:v>3.1897106051087934E-2</c:v>
                  </c:pt>
                  <c:pt idx="1">
                    <c:v>8.9127940259661809E-2</c:v>
                  </c:pt>
                  <c:pt idx="2">
                    <c:v>4.8219451548288203E-2</c:v>
                  </c:pt>
                  <c:pt idx="3">
                    <c:v>0.1077296723170816</c:v>
                  </c:pt>
                  <c:pt idx="4">
                    <c:v>4.5640139835676087E-2</c:v>
                  </c:pt>
                  <c:pt idx="5">
                    <c:v>2.1891525411740411E-2</c:v>
                  </c:pt>
                </c:numCache>
              </c:numRef>
            </c:minus>
          </c:errBars>
          <c:xVal>
            <c:numRef>
              <c:f>'N-Figures'!$L$53:$Q$53</c:f>
              <c:numCache>
                <c:formatCode>General</c:formatCode>
                <c:ptCount val="6"/>
                <c:pt idx="0">
                  <c:v>0</c:v>
                </c:pt>
                <c:pt idx="1">
                  <c:v>1</c:v>
                </c:pt>
                <c:pt idx="2">
                  <c:v>2</c:v>
                </c:pt>
                <c:pt idx="3">
                  <c:v>3</c:v>
                </c:pt>
                <c:pt idx="4">
                  <c:v>4</c:v>
                </c:pt>
                <c:pt idx="5">
                  <c:v>5</c:v>
                </c:pt>
              </c:numCache>
            </c:numRef>
          </c:xVal>
          <c:yVal>
            <c:numRef>
              <c:f>'N-Figures'!$L$56:$Q$56</c:f>
              <c:numCache>
                <c:formatCode>General</c:formatCode>
                <c:ptCount val="6"/>
                <c:pt idx="0">
                  <c:v>0.86807838118631342</c:v>
                </c:pt>
                <c:pt idx="1">
                  <c:v>1.6030395542431977</c:v>
                </c:pt>
                <c:pt idx="2">
                  <c:v>6.5213044505584721</c:v>
                </c:pt>
                <c:pt idx="3">
                  <c:v>7.2506269845241862</c:v>
                </c:pt>
                <c:pt idx="4">
                  <c:v>7.4806431632794137</c:v>
                </c:pt>
                <c:pt idx="5">
                  <c:v>8.2388347850131343</c:v>
                </c:pt>
              </c:numCache>
            </c:numRef>
          </c:yVal>
          <c:smooth val="0"/>
          <c:extLst>
            <c:ext xmlns:c16="http://schemas.microsoft.com/office/drawing/2014/chart" uri="{C3380CC4-5D6E-409C-BE32-E72D297353CC}">
              <c16:uniqueId val="{00000002-81E2-4E3D-B5C3-539CE24A4FB3}"/>
            </c:ext>
          </c:extLst>
        </c:ser>
        <c:dLbls>
          <c:showLegendKey val="0"/>
          <c:showVal val="0"/>
          <c:showCatName val="0"/>
          <c:showSerName val="0"/>
          <c:showPercent val="0"/>
          <c:showBubbleSize val="0"/>
        </c:dLbls>
        <c:axId val="129291776"/>
        <c:axId val="129293696"/>
      </c:scatterChart>
      <c:valAx>
        <c:axId val="129291776"/>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9293696"/>
        <c:crosses val="autoZero"/>
        <c:crossBetween val="midCat"/>
      </c:valAx>
      <c:valAx>
        <c:axId val="129293696"/>
        <c:scaling>
          <c:orientation val="minMax"/>
          <c:max val="50"/>
        </c:scaling>
        <c:delete val="0"/>
        <c:axPos val="l"/>
        <c:title>
          <c:tx>
            <c:rich>
              <a:bodyPr rot="-5400000" vert="horz"/>
              <a:lstStyle/>
              <a:p>
                <a:pPr>
                  <a:defRPr/>
                </a:pPr>
                <a:r>
                  <a:rPr lang="en-CA"/>
                  <a:t>N (uM)</a:t>
                </a:r>
              </a:p>
            </c:rich>
          </c:tx>
          <c:overlay val="0"/>
        </c:title>
        <c:numFmt formatCode="General" sourceLinked="1"/>
        <c:majorTickMark val="out"/>
        <c:minorTickMark val="none"/>
        <c:tickLblPos val="nextTo"/>
        <c:crossAx val="129291776"/>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'DC2'!$V$73</c:f>
              <c:strCache>
                <c:ptCount val="1"/>
                <c:pt idx="0">
                  <c:v>DC2+Bac+Lys</c:v>
                </c:pt>
              </c:strCache>
            </c:strRef>
          </c:tx>
          <c:invertIfNegative val="0"/>
          <c:errBars>
            <c:errBarType val="both"/>
            <c:errValType val="cust"/>
            <c:noEndCap val="0"/>
            <c:plus>
              <c:numRef>
                <c:f>'DC2'!$W$65</c:f>
                <c:numCache>
                  <c:formatCode>General</c:formatCode>
                  <c:ptCount val="1"/>
                  <c:pt idx="0">
                    <c:v>4.7078699572245917</c:v>
                  </c:pt>
                </c:numCache>
              </c:numRef>
            </c:plus>
            <c:minus>
              <c:numRef>
                <c:f>'DC2'!$W$65</c:f>
                <c:numCache>
                  <c:formatCode>General</c:formatCode>
                  <c:ptCount val="1"/>
                  <c:pt idx="0">
                    <c:v>4.7078699572245917</c:v>
                  </c:pt>
                </c:numCache>
              </c:numRef>
            </c:minus>
          </c:errBars>
          <c:val>
            <c:numRef>
              <c:f>'DC2'!$V$74:$V$75</c:f>
              <c:numCache>
                <c:formatCode>General</c:formatCode>
                <c:ptCount val="2"/>
                <c:pt idx="0" formatCode="0.00">
                  <c:v>45.604605590524123</c:v>
                </c:pt>
              </c:numCache>
            </c:numRef>
          </c:val>
          <c:extLst>
            <c:ext xmlns:c16="http://schemas.microsoft.com/office/drawing/2014/chart" uri="{C3380CC4-5D6E-409C-BE32-E72D297353CC}">
              <c16:uniqueId val="{00000000-F1D4-4D32-8C0B-41E61FA1E9DE}"/>
            </c:ext>
          </c:extLst>
        </c:ser>
        <c:ser>
          <c:idx val="1"/>
          <c:order val="1"/>
          <c:tx>
            <c:strRef>
              <c:f>'DC2'!$W$73</c:f>
              <c:strCache>
                <c:ptCount val="1"/>
                <c:pt idx="0">
                  <c:v>DC2+Bac</c:v>
                </c:pt>
              </c:strCache>
            </c:strRef>
          </c:tx>
          <c:invertIfNegative val="0"/>
          <c:errBars>
            <c:errBarType val="both"/>
            <c:errValType val="cust"/>
            <c:noEndCap val="0"/>
            <c:plus>
              <c:numRef>
                <c:f>'DC2'!$W$66</c:f>
                <c:numCache>
                  <c:formatCode>General</c:formatCode>
                  <c:ptCount val="1"/>
                  <c:pt idx="0">
                    <c:v>3.7970858925458906</c:v>
                  </c:pt>
                </c:numCache>
              </c:numRef>
            </c:plus>
            <c:minus>
              <c:numRef>
                <c:f>'DC2'!$W$66</c:f>
                <c:numCache>
                  <c:formatCode>General</c:formatCode>
                  <c:ptCount val="1"/>
                  <c:pt idx="0">
                    <c:v>3.7970858925458906</c:v>
                  </c:pt>
                </c:numCache>
              </c:numRef>
            </c:minus>
          </c:errBars>
          <c:val>
            <c:numRef>
              <c:f>'DC2'!$W$74:$W$75</c:f>
              <c:numCache>
                <c:formatCode>0.00</c:formatCode>
                <c:ptCount val="2"/>
                <c:pt idx="1">
                  <c:v>21.383758598931962</c:v>
                </c:pt>
              </c:numCache>
            </c:numRef>
          </c:val>
          <c:extLst>
            <c:ext xmlns:c16="http://schemas.microsoft.com/office/drawing/2014/chart" uri="{C3380CC4-5D6E-409C-BE32-E72D297353CC}">
              <c16:uniqueId val="{00000001-F1D4-4D32-8C0B-41E61FA1E9DE}"/>
            </c:ext>
          </c:extLst>
        </c:ser>
        <c:ser>
          <c:idx val="2"/>
          <c:order val="2"/>
          <c:tx>
            <c:strRef>
              <c:f>'DC2'!$X$73</c:f>
              <c:strCache>
                <c:ptCount val="1"/>
                <c:pt idx="0">
                  <c:v>DC2+Lys</c:v>
                </c:pt>
              </c:strCache>
            </c:strRef>
          </c:tx>
          <c:invertIfNegative val="0"/>
          <c:errBars>
            <c:errBarType val="both"/>
            <c:errValType val="cust"/>
            <c:noEndCap val="0"/>
            <c:plus>
              <c:numRef>
                <c:f>'DC2'!$W$67</c:f>
                <c:numCache>
                  <c:formatCode>General</c:formatCode>
                  <c:ptCount val="1"/>
                  <c:pt idx="0">
                    <c:v>1.6244915643351889</c:v>
                  </c:pt>
                </c:numCache>
              </c:numRef>
            </c:plus>
            <c:minus>
              <c:numRef>
                <c:f>'DC2'!$W$67</c:f>
                <c:numCache>
                  <c:formatCode>General</c:formatCode>
                  <c:ptCount val="1"/>
                  <c:pt idx="0">
                    <c:v>1.6244915643351889</c:v>
                  </c:pt>
                </c:numCache>
              </c:numRef>
            </c:minus>
          </c:errBars>
          <c:val>
            <c:numRef>
              <c:f>'DC2'!$X$74:$X$75</c:f>
              <c:numCache>
                <c:formatCode>0.00</c:formatCode>
                <c:ptCount val="2"/>
                <c:pt idx="1">
                  <c:v>12.479987124045204</c:v>
                </c:pt>
              </c:numCache>
            </c:numRef>
          </c:val>
          <c:extLst>
            <c:ext xmlns:c16="http://schemas.microsoft.com/office/drawing/2014/chart" uri="{C3380CC4-5D6E-409C-BE32-E72D297353CC}">
              <c16:uniqueId val="{00000002-F1D4-4D32-8C0B-41E61FA1E9DE}"/>
            </c:ext>
          </c:extLst>
        </c:ser>
        <c:dLbls>
          <c:showLegendKey val="0"/>
          <c:showVal val="0"/>
          <c:showCatName val="0"/>
          <c:showSerName val="0"/>
          <c:showPercent val="0"/>
          <c:showBubbleSize val="0"/>
        </c:dLbls>
        <c:gapWidth val="150"/>
        <c:overlap val="100"/>
        <c:axId val="86366848"/>
        <c:axId val="86372736"/>
      </c:barChart>
      <c:catAx>
        <c:axId val="86366848"/>
        <c:scaling>
          <c:orientation val="minMax"/>
        </c:scaling>
        <c:delete val="0"/>
        <c:axPos val="b"/>
        <c:majorTickMark val="out"/>
        <c:minorTickMark val="none"/>
        <c:tickLblPos val="nextTo"/>
        <c:txPr>
          <a:bodyPr/>
          <a:lstStyle/>
          <a:p>
            <a:pPr>
              <a:defRPr>
                <a:solidFill>
                  <a:schemeClr val="bg1"/>
                </a:solidFill>
              </a:defRPr>
            </a:pPr>
            <a:endParaRPr lang="en-US"/>
          </a:p>
        </c:txPr>
        <c:crossAx val="86372736"/>
        <c:crosses val="autoZero"/>
        <c:auto val="1"/>
        <c:lblAlgn val="ctr"/>
        <c:lblOffset val="100"/>
        <c:noMultiLvlLbl val="0"/>
      </c:catAx>
      <c:valAx>
        <c:axId val="86372736"/>
        <c:scaling>
          <c:orientation val="minMax"/>
        </c:scaling>
        <c:delete val="0"/>
        <c:axPos val="l"/>
        <c:numFmt formatCode="0" sourceLinked="0"/>
        <c:majorTickMark val="out"/>
        <c:minorTickMark val="none"/>
        <c:tickLblPos val="nextTo"/>
        <c:crossAx val="8636684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'DC2'!$V$77</c:f>
              <c:strCache>
                <c:ptCount val="1"/>
                <c:pt idx="0">
                  <c:v>DC2+Bac+Lys</c:v>
                </c:pt>
              </c:strCache>
            </c:strRef>
          </c:tx>
          <c:invertIfNegative val="0"/>
          <c:errBars>
            <c:errBarType val="both"/>
            <c:errValType val="cust"/>
            <c:noEndCap val="0"/>
            <c:plus>
              <c:numRef>
                <c:f>'DC2'!$V$81</c:f>
                <c:numCache>
                  <c:formatCode>General</c:formatCode>
                  <c:ptCount val="1"/>
                  <c:pt idx="0">
                    <c:v>3.6862621765068559</c:v>
                  </c:pt>
                </c:numCache>
              </c:numRef>
            </c:plus>
            <c:minus>
              <c:numRef>
                <c:f>'DC2'!$V$81</c:f>
                <c:numCache>
                  <c:formatCode>General</c:formatCode>
                  <c:ptCount val="1"/>
                  <c:pt idx="0">
                    <c:v>3.6862621765068559</c:v>
                  </c:pt>
                </c:numCache>
              </c:numRef>
            </c:minus>
          </c:errBars>
          <c:val>
            <c:numRef>
              <c:f>'DC2'!$V$78:$V$79</c:f>
              <c:numCache>
                <c:formatCode>0.00</c:formatCode>
                <c:ptCount val="2"/>
                <c:pt idx="0">
                  <c:v>35.70840617738039</c:v>
                </c:pt>
              </c:numCache>
            </c:numRef>
          </c:val>
          <c:extLst>
            <c:ext xmlns:c16="http://schemas.microsoft.com/office/drawing/2014/chart" uri="{C3380CC4-5D6E-409C-BE32-E72D297353CC}">
              <c16:uniqueId val="{00000000-5804-4955-A5F9-F0CC4E915154}"/>
            </c:ext>
          </c:extLst>
        </c:ser>
        <c:ser>
          <c:idx val="1"/>
          <c:order val="1"/>
          <c:tx>
            <c:strRef>
              <c:f>'DC2'!$W$77</c:f>
              <c:strCache>
                <c:ptCount val="1"/>
                <c:pt idx="0">
                  <c:v>DC2+Bac</c:v>
                </c:pt>
              </c:strCache>
            </c:strRef>
          </c:tx>
          <c:invertIfNegative val="0"/>
          <c:errBars>
            <c:errBarType val="both"/>
            <c:errValType val="cust"/>
            <c:noEndCap val="0"/>
            <c:plus>
              <c:numRef>
                <c:f>'DC2'!$W$82</c:f>
                <c:numCache>
                  <c:formatCode>General</c:formatCode>
                  <c:ptCount val="1"/>
                  <c:pt idx="0">
                    <c:v>2.9731182538634329</c:v>
                  </c:pt>
                </c:numCache>
              </c:numRef>
            </c:plus>
            <c:minus>
              <c:numRef>
                <c:f>'DC2'!$W$82</c:f>
                <c:numCache>
                  <c:formatCode>General</c:formatCode>
                  <c:ptCount val="1"/>
                  <c:pt idx="0">
                    <c:v>2.9731182538634329</c:v>
                  </c:pt>
                </c:numCache>
              </c:numRef>
            </c:minus>
          </c:errBars>
          <c:val>
            <c:numRef>
              <c:f>'DC2'!$W$78:$W$79</c:f>
              <c:numCache>
                <c:formatCode>0.00</c:formatCode>
                <c:ptCount val="2"/>
                <c:pt idx="1">
                  <c:v>16.743482982963727</c:v>
                </c:pt>
              </c:numCache>
            </c:numRef>
          </c:val>
          <c:extLst>
            <c:ext xmlns:c16="http://schemas.microsoft.com/office/drawing/2014/chart" uri="{C3380CC4-5D6E-409C-BE32-E72D297353CC}">
              <c16:uniqueId val="{00000001-5804-4955-A5F9-F0CC4E915154}"/>
            </c:ext>
          </c:extLst>
        </c:ser>
        <c:ser>
          <c:idx val="2"/>
          <c:order val="2"/>
          <c:tx>
            <c:strRef>
              <c:f>'DC2'!$X$77</c:f>
              <c:strCache>
                <c:ptCount val="1"/>
                <c:pt idx="0">
                  <c:v>DC2+Lys</c:v>
                </c:pt>
              </c:strCache>
            </c:strRef>
          </c:tx>
          <c:invertIfNegative val="0"/>
          <c:errBars>
            <c:errBarType val="both"/>
            <c:errValType val="cust"/>
            <c:noEndCap val="0"/>
            <c:plus>
              <c:numRef>
                <c:f>'DC2'!$X$82</c:f>
                <c:numCache>
                  <c:formatCode>General</c:formatCode>
                  <c:ptCount val="1"/>
                  <c:pt idx="0">
                    <c:v>1.271976894874453</c:v>
                  </c:pt>
                </c:numCache>
              </c:numRef>
            </c:plus>
            <c:minus>
              <c:numRef>
                <c:f>'DC2'!$X$82</c:f>
                <c:numCache>
                  <c:formatCode>General</c:formatCode>
                  <c:ptCount val="1"/>
                  <c:pt idx="0">
                    <c:v>1.271976894874453</c:v>
                  </c:pt>
                </c:numCache>
              </c:numRef>
            </c:minus>
          </c:errBars>
          <c:val>
            <c:numRef>
              <c:f>'DC2'!$X$78:$X$79</c:f>
              <c:numCache>
                <c:formatCode>0.00</c:formatCode>
                <c:ptCount val="2"/>
                <c:pt idx="1">
                  <c:v>9.7718299181273949</c:v>
                </c:pt>
              </c:numCache>
            </c:numRef>
          </c:val>
          <c:extLst>
            <c:ext xmlns:c16="http://schemas.microsoft.com/office/drawing/2014/chart" uri="{C3380CC4-5D6E-409C-BE32-E72D297353CC}">
              <c16:uniqueId val="{00000002-5804-4955-A5F9-F0CC4E915154}"/>
            </c:ext>
          </c:extLst>
        </c:ser>
        <c:dLbls>
          <c:showLegendKey val="0"/>
          <c:showVal val="0"/>
          <c:showCatName val="0"/>
          <c:showSerName val="0"/>
          <c:showPercent val="0"/>
          <c:showBubbleSize val="0"/>
        </c:dLbls>
        <c:gapWidth val="150"/>
        <c:overlap val="100"/>
        <c:axId val="121873536"/>
        <c:axId val="121875072"/>
      </c:barChart>
      <c:catAx>
        <c:axId val="121873536"/>
        <c:scaling>
          <c:orientation val="minMax"/>
        </c:scaling>
        <c:delete val="0"/>
        <c:axPos val="b"/>
        <c:majorTickMark val="out"/>
        <c:minorTickMark val="none"/>
        <c:tickLblPos val="nextTo"/>
        <c:txPr>
          <a:bodyPr/>
          <a:lstStyle/>
          <a:p>
            <a:pPr>
              <a:defRPr>
                <a:solidFill>
                  <a:schemeClr val="bg1"/>
                </a:solidFill>
              </a:defRPr>
            </a:pPr>
            <a:endParaRPr lang="en-US"/>
          </a:p>
        </c:txPr>
        <c:crossAx val="121875072"/>
        <c:crosses val="autoZero"/>
        <c:auto val="1"/>
        <c:lblAlgn val="ctr"/>
        <c:lblOffset val="100"/>
        <c:noMultiLvlLbl val="0"/>
      </c:catAx>
      <c:valAx>
        <c:axId val="121875072"/>
        <c:scaling>
          <c:orientation val="minMax"/>
        </c:scaling>
        <c:delete val="0"/>
        <c:axPos val="l"/>
        <c:title>
          <c:tx>
            <c:rich>
              <a:bodyPr rot="-5400000" vert="horz"/>
              <a:lstStyle/>
              <a:p>
                <a:pPr>
                  <a:defRPr/>
                </a:pPr>
                <a:r>
                  <a:rPr lang="en-CA"/>
                  <a:t>N in DC2 (umol</a:t>
                </a:r>
                <a:r>
                  <a:rPr lang="en-CA" baseline="0"/>
                  <a:t> l-1)</a:t>
                </a:r>
                <a:endParaRPr lang="en-CA"/>
              </a:p>
            </c:rich>
          </c:tx>
          <c:overlay val="0"/>
        </c:title>
        <c:numFmt formatCode="0" sourceLinked="0"/>
        <c:majorTickMark val="out"/>
        <c:minorTickMark val="none"/>
        <c:tickLblPos val="nextTo"/>
        <c:crossAx val="12187353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Bac!$AH$43</c:f>
              <c:strCache>
                <c:ptCount val="1"/>
                <c:pt idx="0">
                  <c:v>Syn+Bac+lysate</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Bac!$AI$43:$AN$43</c:f>
              <c:numCache>
                <c:formatCode>0.00</c:formatCode>
                <c:ptCount val="6"/>
                <c:pt idx="0">
                  <c:v>1.8379690235690234</c:v>
                </c:pt>
                <c:pt idx="1">
                  <c:v>3.6536765676567655</c:v>
                </c:pt>
                <c:pt idx="2">
                  <c:v>7.8998019801980206</c:v>
                </c:pt>
                <c:pt idx="3">
                  <c:v>9.8904915824915811</c:v>
                </c:pt>
                <c:pt idx="4">
                  <c:v>11.415603960396037</c:v>
                </c:pt>
                <c:pt idx="5">
                  <c:v>13.627797979797981</c:v>
                </c:pt>
              </c:numCache>
            </c:numRef>
          </c:yVal>
          <c:smooth val="0"/>
          <c:extLst>
            <c:ext xmlns:c16="http://schemas.microsoft.com/office/drawing/2014/chart" uri="{C3380CC4-5D6E-409C-BE32-E72D297353CC}">
              <c16:uniqueId val="{00000000-675C-44C8-9BC0-C17EC45304B5}"/>
            </c:ext>
          </c:extLst>
        </c:ser>
        <c:ser>
          <c:idx val="1"/>
          <c:order val="1"/>
          <c:tx>
            <c:strRef>
              <c:f>Bac!$AH$44</c:f>
              <c:strCache>
                <c:ptCount val="1"/>
                <c:pt idx="0">
                  <c:v>Syn+Bac</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Bac!$AI$44:$AN$44</c:f>
              <c:numCache>
                <c:formatCode>0.00</c:formatCode>
                <c:ptCount val="6"/>
                <c:pt idx="0">
                  <c:v>1.9906316498316496</c:v>
                </c:pt>
                <c:pt idx="1">
                  <c:v>1.7993359735973595</c:v>
                </c:pt>
                <c:pt idx="2">
                  <c:v>3.6721544554455448</c:v>
                </c:pt>
                <c:pt idx="3">
                  <c:v>5.3595057239057242</c:v>
                </c:pt>
                <c:pt idx="4">
                  <c:v>6.3208290429042897</c:v>
                </c:pt>
                <c:pt idx="5">
                  <c:v>6.3543340067340068</c:v>
                </c:pt>
              </c:numCache>
            </c:numRef>
          </c:yVal>
          <c:smooth val="0"/>
          <c:extLst>
            <c:ext xmlns:c16="http://schemas.microsoft.com/office/drawing/2014/chart" uri="{C3380CC4-5D6E-409C-BE32-E72D297353CC}">
              <c16:uniqueId val="{00000001-675C-44C8-9BC0-C17EC45304B5}"/>
            </c:ext>
          </c:extLst>
        </c:ser>
        <c:ser>
          <c:idx val="2"/>
          <c:order val="2"/>
          <c:tx>
            <c:strRef>
              <c:f>Bac!$AH$45</c:f>
              <c:strCache>
                <c:ptCount val="1"/>
                <c:pt idx="0">
                  <c:v>Syn+lysate</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Bac!$AI$45:$AN$45</c:f>
              <c:numCache>
                <c:formatCode>0.00</c:formatCode>
                <c:ptCount val="6"/>
                <c:pt idx="0">
                  <c:v>1.6272686868686865</c:v>
                </c:pt>
                <c:pt idx="1">
                  <c:v>3.563260726072607</c:v>
                </c:pt>
                <c:pt idx="2">
                  <c:v>6.9376633663366336</c:v>
                </c:pt>
                <c:pt idx="3">
                  <c:v>8.4658181818181824</c:v>
                </c:pt>
                <c:pt idx="4">
                  <c:v>9.6191947194719472</c:v>
                </c:pt>
                <c:pt idx="5">
                  <c:v>10.230141414141412</c:v>
                </c:pt>
              </c:numCache>
            </c:numRef>
          </c:yVal>
          <c:smooth val="0"/>
          <c:extLst>
            <c:ext xmlns:c16="http://schemas.microsoft.com/office/drawing/2014/chart" uri="{C3380CC4-5D6E-409C-BE32-E72D297353CC}">
              <c16:uniqueId val="{00000002-675C-44C8-9BC0-C17EC45304B5}"/>
            </c:ext>
          </c:extLst>
        </c:ser>
        <c:ser>
          <c:idx val="3"/>
          <c:order val="3"/>
          <c:tx>
            <c:strRef>
              <c:f>Bac!$AH$46</c:f>
              <c:strCache>
                <c:ptCount val="1"/>
                <c:pt idx="0">
                  <c:v>Syn</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Bac!$AI$46:$AN$46</c:f>
              <c:numCache>
                <c:formatCode>0.00</c:formatCode>
                <c:ptCount val="6"/>
                <c:pt idx="0">
                  <c:v>1.655985185185185</c:v>
                </c:pt>
                <c:pt idx="1">
                  <c:v>1.8839062706270628</c:v>
                </c:pt>
                <c:pt idx="2">
                  <c:v>3.4619260726072603</c:v>
                </c:pt>
                <c:pt idx="3">
                  <c:v>3.8556202020202015</c:v>
                </c:pt>
                <c:pt idx="4">
                  <c:v>3.9496396039603958</c:v>
                </c:pt>
                <c:pt idx="5">
                  <c:v>4.1997521885521882</c:v>
                </c:pt>
              </c:numCache>
            </c:numRef>
          </c:yVal>
          <c:smooth val="0"/>
          <c:extLst>
            <c:ext xmlns:c16="http://schemas.microsoft.com/office/drawing/2014/chart" uri="{C3380CC4-5D6E-409C-BE32-E72D297353CC}">
              <c16:uniqueId val="{00000003-675C-44C8-9BC0-C17EC45304B5}"/>
            </c:ext>
          </c:extLst>
        </c:ser>
        <c:ser>
          <c:idx val="4"/>
          <c:order val="4"/>
          <c:tx>
            <c:strRef>
              <c:f>Bac!$AH$47</c:f>
              <c:strCache>
                <c:ptCount val="1"/>
                <c:pt idx="0">
                  <c:v>Bac</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Bac!$AI$47:$AN$47</c:f>
              <c:numCache>
                <c:formatCode>0.00</c:formatCode>
                <c:ptCount val="6"/>
                <c:pt idx="0">
                  <c:v>0.41795959595959598</c:v>
                </c:pt>
                <c:pt idx="1">
                  <c:v>0.33548910891089107</c:v>
                </c:pt>
                <c:pt idx="2">
                  <c:v>0.79883168316831688</c:v>
                </c:pt>
                <c:pt idx="3">
                  <c:v>0.9729494949494949</c:v>
                </c:pt>
                <c:pt idx="4">
                  <c:v>1.042621782178218</c:v>
                </c:pt>
                <c:pt idx="5">
                  <c:v>1.1362868686868688</c:v>
                </c:pt>
              </c:numCache>
            </c:numRef>
          </c:yVal>
          <c:smooth val="0"/>
          <c:extLst>
            <c:ext xmlns:c16="http://schemas.microsoft.com/office/drawing/2014/chart" uri="{C3380CC4-5D6E-409C-BE32-E72D297353CC}">
              <c16:uniqueId val="{00000004-675C-44C8-9BC0-C17EC45304B5}"/>
            </c:ext>
          </c:extLst>
        </c:ser>
        <c:ser>
          <c:idx val="5"/>
          <c:order val="5"/>
          <c:tx>
            <c:strRef>
              <c:f>Bac!$AH$48</c:f>
              <c:strCache>
                <c:ptCount val="1"/>
                <c:pt idx="0">
                  <c:v>Bac+lysate</c:v>
                </c:pt>
              </c:strCache>
            </c:strRef>
          </c:tx>
          <c:spPr>
            <a:ln w="28575">
              <a:noFill/>
            </a:ln>
          </c:spPr>
          <c:xVal>
            <c:numRef>
              <c:f>Bac!$AI$42:$AN$42</c:f>
              <c:numCache>
                <c:formatCode>General</c:formatCode>
                <c:ptCount val="6"/>
                <c:pt idx="0">
                  <c:v>0</c:v>
                </c:pt>
                <c:pt idx="1">
                  <c:v>1</c:v>
                </c:pt>
                <c:pt idx="2">
                  <c:v>2</c:v>
                </c:pt>
                <c:pt idx="3">
                  <c:v>3</c:v>
                </c:pt>
                <c:pt idx="4">
                  <c:v>4</c:v>
                </c:pt>
                <c:pt idx="5">
                  <c:v>5</c:v>
                </c:pt>
              </c:numCache>
            </c:numRef>
          </c:xVal>
          <c:yVal>
            <c:numRef>
              <c:f>Bac!$AI$48:$AN$48</c:f>
              <c:numCache>
                <c:formatCode>0.00</c:formatCode>
                <c:ptCount val="6"/>
                <c:pt idx="0">
                  <c:v>0.42489696969696966</c:v>
                </c:pt>
                <c:pt idx="1">
                  <c:v>1.0352831683168318</c:v>
                </c:pt>
                <c:pt idx="2">
                  <c:v>12.202431683168316</c:v>
                </c:pt>
                <c:pt idx="3">
                  <c:v>14.023111111111112</c:v>
                </c:pt>
                <c:pt idx="4">
                  <c:v>13.519466666666665</c:v>
                </c:pt>
                <c:pt idx="5">
                  <c:v>13.159305050505051</c:v>
                </c:pt>
              </c:numCache>
            </c:numRef>
          </c:yVal>
          <c:smooth val="0"/>
          <c:extLst>
            <c:ext xmlns:c16="http://schemas.microsoft.com/office/drawing/2014/chart" uri="{C3380CC4-5D6E-409C-BE32-E72D297353CC}">
              <c16:uniqueId val="{00000005-675C-44C8-9BC0-C17EC45304B5}"/>
            </c:ext>
          </c:extLst>
        </c:ser>
        <c:dLbls>
          <c:showLegendKey val="0"/>
          <c:showVal val="0"/>
          <c:showCatName val="0"/>
          <c:showSerName val="0"/>
          <c:showPercent val="0"/>
          <c:showBubbleSize val="0"/>
        </c:dLbls>
        <c:axId val="121707520"/>
        <c:axId val="121709696"/>
      </c:scatterChart>
      <c:valAx>
        <c:axId val="121707520"/>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1709696"/>
        <c:crosses val="autoZero"/>
        <c:crossBetween val="midCat"/>
      </c:valAx>
      <c:valAx>
        <c:axId val="121709696"/>
        <c:scaling>
          <c:orientation val="minMax"/>
        </c:scaling>
        <c:delete val="0"/>
        <c:axPos val="l"/>
        <c:title>
          <c:tx>
            <c:rich>
              <a:bodyPr rot="-5400000" vert="horz"/>
              <a:lstStyle/>
              <a:p>
                <a:pPr>
                  <a:defRPr/>
                </a:pPr>
                <a:r>
                  <a:rPr lang="en-CA"/>
                  <a:t>Bacteria (x10</a:t>
                </a:r>
                <a:r>
                  <a:rPr lang="en-CA" baseline="30000"/>
                  <a:t>5</a:t>
                </a:r>
                <a:r>
                  <a:rPr lang="en-CA"/>
                  <a:t> ml</a:t>
                </a:r>
                <a:r>
                  <a:rPr lang="en-CA" baseline="30000"/>
                  <a:t>-1</a:t>
                </a:r>
                <a:r>
                  <a:rPr lang="en-CA"/>
                  <a:t>)</a:t>
                </a:r>
              </a:p>
            </c:rich>
          </c:tx>
          <c:overlay val="0"/>
        </c:title>
        <c:numFmt formatCode="0" sourceLinked="0"/>
        <c:majorTickMark val="out"/>
        <c:minorTickMark val="none"/>
        <c:tickLblPos val="nextTo"/>
        <c:crossAx val="121707520"/>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Bac!$AH$43</c:f>
              <c:strCache>
                <c:ptCount val="1"/>
                <c:pt idx="0">
                  <c:v>Syn+Bac+lysate</c:v>
                </c:pt>
              </c:strCache>
            </c:strRef>
          </c:tx>
          <c:spPr>
            <a:ln w="28575">
              <a:solidFill>
                <a:schemeClr val="accent2"/>
              </a:solidFill>
            </a:ln>
          </c:spPr>
          <c:marker>
            <c:spPr>
              <a:solidFill>
                <a:schemeClr val="accent2"/>
              </a:solidFill>
              <a:ln>
                <a:solidFill>
                  <a:schemeClr val="accent2"/>
                </a:solidFill>
              </a:ln>
            </c:spPr>
          </c:marker>
          <c:errBars>
            <c:errDir val="y"/>
            <c:errBarType val="both"/>
            <c:errValType val="cust"/>
            <c:noEndCap val="0"/>
            <c:pl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plus>
            <c:min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Bac!$AI$43:$AN$43</c:f>
              <c:numCache>
                <c:formatCode>0.00</c:formatCode>
                <c:ptCount val="6"/>
                <c:pt idx="0">
                  <c:v>1.8379690235690234</c:v>
                </c:pt>
                <c:pt idx="1">
                  <c:v>3.6536765676567655</c:v>
                </c:pt>
                <c:pt idx="2">
                  <c:v>7.8998019801980206</c:v>
                </c:pt>
                <c:pt idx="3">
                  <c:v>9.8904915824915811</c:v>
                </c:pt>
                <c:pt idx="4">
                  <c:v>11.415603960396037</c:v>
                </c:pt>
                <c:pt idx="5">
                  <c:v>13.627797979797981</c:v>
                </c:pt>
              </c:numCache>
            </c:numRef>
          </c:yVal>
          <c:smooth val="0"/>
          <c:extLst>
            <c:ext xmlns:c16="http://schemas.microsoft.com/office/drawing/2014/chart" uri="{C3380CC4-5D6E-409C-BE32-E72D297353CC}">
              <c16:uniqueId val="{00000000-4425-4993-A20E-A565285B0C41}"/>
            </c:ext>
          </c:extLst>
        </c:ser>
        <c:ser>
          <c:idx val="1"/>
          <c:order val="1"/>
          <c:tx>
            <c:strRef>
              <c:f>Bac!$AH$44</c:f>
              <c:strCache>
                <c:ptCount val="1"/>
                <c:pt idx="0">
                  <c:v>Syn+Bac</c:v>
                </c:pt>
              </c:strCache>
            </c:strRef>
          </c:tx>
          <c:spPr>
            <a:ln w="28575">
              <a:solidFill>
                <a:schemeClr val="accent6"/>
              </a:solidFill>
            </a:ln>
          </c:spPr>
          <c:marker>
            <c:spPr>
              <a:solidFill>
                <a:schemeClr val="accent6"/>
              </a:solidFill>
              <a:ln>
                <a:solidFill>
                  <a:schemeClr val="accent6"/>
                </a:solidFill>
              </a:ln>
            </c:spPr>
          </c:marker>
          <c:errBars>
            <c:errDir val="y"/>
            <c:errBarType val="both"/>
            <c:errValType val="cust"/>
            <c:noEndCap val="0"/>
            <c:pl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plus>
            <c:min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Bac!$AI$44:$AN$44</c:f>
              <c:numCache>
                <c:formatCode>0.00</c:formatCode>
                <c:ptCount val="6"/>
                <c:pt idx="0">
                  <c:v>1.9906316498316496</c:v>
                </c:pt>
                <c:pt idx="1">
                  <c:v>1.7993359735973595</c:v>
                </c:pt>
                <c:pt idx="2">
                  <c:v>3.6721544554455448</c:v>
                </c:pt>
                <c:pt idx="3">
                  <c:v>5.3595057239057242</c:v>
                </c:pt>
                <c:pt idx="4">
                  <c:v>6.3208290429042897</c:v>
                </c:pt>
                <c:pt idx="5">
                  <c:v>6.3543340067340068</c:v>
                </c:pt>
              </c:numCache>
            </c:numRef>
          </c:yVal>
          <c:smooth val="0"/>
          <c:extLst>
            <c:ext xmlns:c16="http://schemas.microsoft.com/office/drawing/2014/chart" uri="{C3380CC4-5D6E-409C-BE32-E72D297353CC}">
              <c16:uniqueId val="{00000001-4425-4993-A20E-A565285B0C41}"/>
            </c:ext>
          </c:extLst>
        </c:ser>
        <c:ser>
          <c:idx val="2"/>
          <c:order val="2"/>
          <c:tx>
            <c:strRef>
              <c:f>Bac!$AH$45</c:f>
              <c:strCache>
                <c:ptCount val="1"/>
                <c:pt idx="0">
                  <c:v>Syn+lysate</c:v>
                </c:pt>
              </c:strCache>
            </c:strRef>
          </c:tx>
          <c:spPr>
            <a:ln w="28575">
              <a:solidFill>
                <a:schemeClr val="accent3"/>
              </a:solidFill>
            </a:ln>
          </c:spPr>
          <c:marker>
            <c:spPr>
              <a:ln>
                <a:solidFill>
                  <a:schemeClr val="accent3"/>
                </a:solidFill>
              </a:ln>
            </c:spPr>
          </c:marker>
          <c:errBars>
            <c:errDir val="y"/>
            <c:errBarType val="both"/>
            <c:errValType val="cust"/>
            <c:noEndCap val="0"/>
            <c:pl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plus>
            <c:min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Bac!$AI$45:$AN$45</c:f>
              <c:numCache>
                <c:formatCode>0.00</c:formatCode>
                <c:ptCount val="6"/>
                <c:pt idx="0">
                  <c:v>1.6272686868686865</c:v>
                </c:pt>
                <c:pt idx="1">
                  <c:v>3.563260726072607</c:v>
                </c:pt>
                <c:pt idx="2">
                  <c:v>6.9376633663366336</c:v>
                </c:pt>
                <c:pt idx="3">
                  <c:v>8.4658181818181824</c:v>
                </c:pt>
                <c:pt idx="4">
                  <c:v>9.6191947194719472</c:v>
                </c:pt>
                <c:pt idx="5">
                  <c:v>10.230141414141412</c:v>
                </c:pt>
              </c:numCache>
            </c:numRef>
          </c:yVal>
          <c:smooth val="0"/>
          <c:extLst>
            <c:ext xmlns:c16="http://schemas.microsoft.com/office/drawing/2014/chart" uri="{C3380CC4-5D6E-409C-BE32-E72D297353CC}">
              <c16:uniqueId val="{00000002-4425-4993-A20E-A565285B0C41}"/>
            </c:ext>
          </c:extLst>
        </c:ser>
        <c:ser>
          <c:idx val="3"/>
          <c:order val="3"/>
          <c:tx>
            <c:strRef>
              <c:f>Bac!$AH$46</c:f>
              <c:strCache>
                <c:ptCount val="1"/>
                <c:pt idx="0">
                  <c:v>Syn</c:v>
                </c:pt>
              </c:strCache>
            </c:strRef>
          </c:tx>
          <c:spPr>
            <a:ln w="28575">
              <a:solidFill>
                <a:schemeClr val="accent3">
                  <a:lumMod val="75000"/>
                </a:schemeClr>
              </a:solidFill>
            </a:ln>
          </c:spPr>
          <c:marker>
            <c:spPr>
              <a:ln>
                <a:solidFill>
                  <a:schemeClr val="accent3">
                    <a:lumMod val="75000"/>
                  </a:schemeClr>
                </a:solidFill>
              </a:ln>
            </c:spPr>
          </c:marker>
          <c:errBars>
            <c:errDir val="y"/>
            <c:errBarType val="both"/>
            <c:errValType val="cust"/>
            <c:noEndCap val="0"/>
            <c:plus>
              <c:numRef>
                <c:f>Bac!$AI$53:$AN$53</c:f>
                <c:numCache>
                  <c:formatCode>General</c:formatCode>
                  <c:ptCount val="6"/>
                  <c:pt idx="0">
                    <c:v>7.5753116217413593E-3</c:v>
                  </c:pt>
                  <c:pt idx="1">
                    <c:v>0.94200207718560569</c:v>
                  </c:pt>
                  <c:pt idx="2">
                    <c:v>0.15659844913948731</c:v>
                  </c:pt>
                  <c:pt idx="3">
                    <c:v>0.28714987761871291</c:v>
                  </c:pt>
                  <c:pt idx="4">
                    <c:v>0.3073337503536826</c:v>
                  </c:pt>
                  <c:pt idx="5">
                    <c:v>0.32417489087518053</c:v>
                  </c:pt>
                </c:numCache>
              </c:numRef>
            </c:plus>
            <c:minus>
              <c:numRef>
                <c:f>Bac!$AI$53:$AN$53</c:f>
                <c:numCache>
                  <c:formatCode>General</c:formatCode>
                  <c:ptCount val="6"/>
                  <c:pt idx="0">
                    <c:v>7.5753116217413593E-3</c:v>
                  </c:pt>
                  <c:pt idx="1">
                    <c:v>0.94200207718560569</c:v>
                  </c:pt>
                  <c:pt idx="2">
                    <c:v>0.15659844913948731</c:v>
                  </c:pt>
                  <c:pt idx="3">
                    <c:v>0.28714987761871291</c:v>
                  </c:pt>
                  <c:pt idx="4">
                    <c:v>0.3073337503536826</c:v>
                  </c:pt>
                  <c:pt idx="5">
                    <c:v>0.32417489087518053</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Bac!$AI$46:$AN$46</c:f>
              <c:numCache>
                <c:formatCode>0.00</c:formatCode>
                <c:ptCount val="6"/>
                <c:pt idx="0">
                  <c:v>1.655985185185185</c:v>
                </c:pt>
                <c:pt idx="1">
                  <c:v>1.8839062706270628</c:v>
                </c:pt>
                <c:pt idx="2">
                  <c:v>3.4619260726072603</c:v>
                </c:pt>
                <c:pt idx="3">
                  <c:v>3.8556202020202015</c:v>
                </c:pt>
                <c:pt idx="4">
                  <c:v>3.9496396039603958</c:v>
                </c:pt>
                <c:pt idx="5">
                  <c:v>4.1997521885521882</c:v>
                </c:pt>
              </c:numCache>
            </c:numRef>
          </c:yVal>
          <c:smooth val="0"/>
          <c:extLst>
            <c:ext xmlns:c16="http://schemas.microsoft.com/office/drawing/2014/chart" uri="{C3380CC4-5D6E-409C-BE32-E72D297353CC}">
              <c16:uniqueId val="{00000003-4425-4993-A20E-A565285B0C41}"/>
            </c:ext>
          </c:extLst>
        </c:ser>
        <c:ser>
          <c:idx val="4"/>
          <c:order val="4"/>
          <c:tx>
            <c:strRef>
              <c:f>Bac!$AH$47</c:f>
              <c:strCache>
                <c:ptCount val="1"/>
                <c:pt idx="0">
                  <c:v>Bac</c:v>
                </c:pt>
              </c:strCache>
            </c:strRef>
          </c:tx>
          <c:spPr>
            <a:ln w="28575">
              <a:solidFill>
                <a:schemeClr val="accent5"/>
              </a:solidFill>
            </a:ln>
          </c:spPr>
          <c:marker>
            <c:spPr>
              <a:ln>
                <a:solidFill>
                  <a:schemeClr val="accent5"/>
                </a:solidFill>
              </a:ln>
            </c:spPr>
          </c:marker>
          <c:errBars>
            <c:errDir val="y"/>
            <c:errBarType val="both"/>
            <c:errValType val="cust"/>
            <c:noEndCap val="0"/>
            <c:plus>
              <c:numRef>
                <c:f>Bac!$AI$54:$AN$54</c:f>
                <c:numCache>
                  <c:formatCode>General</c:formatCode>
                  <c:ptCount val="6"/>
                  <c:pt idx="0">
                    <c:v>1.0909109614649141E-2</c:v>
                  </c:pt>
                  <c:pt idx="1">
                    <c:v>0.16776158794306142</c:v>
                  </c:pt>
                  <c:pt idx="2">
                    <c:v>3.1735967886305623E-2</c:v>
                  </c:pt>
                  <c:pt idx="3">
                    <c:v>8.2426846760203204E-2</c:v>
                  </c:pt>
                  <c:pt idx="4">
                    <c:v>9.0996282361356901E-2</c:v>
                  </c:pt>
                  <c:pt idx="5">
                    <c:v>8.2563759026965056E-2</c:v>
                  </c:pt>
                </c:numCache>
              </c:numRef>
            </c:plus>
            <c:minus>
              <c:numRef>
                <c:f>Bac!$AI$54:$AN$54</c:f>
                <c:numCache>
                  <c:formatCode>General</c:formatCode>
                  <c:ptCount val="6"/>
                  <c:pt idx="0">
                    <c:v>1.0909109614649141E-2</c:v>
                  </c:pt>
                  <c:pt idx="1">
                    <c:v>0.16776158794306142</c:v>
                  </c:pt>
                  <c:pt idx="2">
                    <c:v>3.1735967886305623E-2</c:v>
                  </c:pt>
                  <c:pt idx="3">
                    <c:v>8.2426846760203204E-2</c:v>
                  </c:pt>
                  <c:pt idx="4">
                    <c:v>9.0996282361356901E-2</c:v>
                  </c:pt>
                  <c:pt idx="5">
                    <c:v>8.2563759026965056E-2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Bac!$AI$47:$AN$47</c:f>
              <c:numCache>
                <c:formatCode>0.00</c:formatCode>
                <c:ptCount val="6"/>
                <c:pt idx="0">
                  <c:v>0.41795959595959598</c:v>
                </c:pt>
                <c:pt idx="1">
                  <c:v>0.33548910891089107</c:v>
                </c:pt>
                <c:pt idx="2">
                  <c:v>0.79883168316831688</c:v>
                </c:pt>
                <c:pt idx="3">
                  <c:v>0.9729494949494949</c:v>
                </c:pt>
                <c:pt idx="4">
                  <c:v>1.042621782178218</c:v>
                </c:pt>
                <c:pt idx="5">
                  <c:v>1.1362868686868688</c:v>
                </c:pt>
              </c:numCache>
            </c:numRef>
          </c:yVal>
          <c:smooth val="0"/>
          <c:extLst>
            <c:ext xmlns:c16="http://schemas.microsoft.com/office/drawing/2014/chart" uri="{C3380CC4-5D6E-409C-BE32-E72D297353CC}">
              <c16:uniqueId val="{00000004-4425-4993-A20E-A565285B0C41}"/>
            </c:ext>
          </c:extLst>
        </c:ser>
        <c:ser>
          <c:idx val="5"/>
          <c:order val="5"/>
          <c:tx>
            <c:strRef>
              <c:f>Bac!$AH$48</c:f>
              <c:strCache>
                <c:ptCount val="1"/>
                <c:pt idx="0">
                  <c:v>Bac+lysate</c:v>
                </c:pt>
              </c:strCache>
            </c:strRef>
          </c:tx>
          <c:spPr>
            <a:ln w="28575">
              <a:solidFill>
                <a:schemeClr val="accent4"/>
              </a:solidFill>
            </a:ln>
          </c:spPr>
          <c:marker>
            <c:spPr>
              <a:solidFill>
                <a:schemeClr val="accent4"/>
              </a:solidFill>
              <a:ln>
                <a:solidFill>
                  <a:schemeClr val="accent4"/>
                </a:solidFill>
              </a:ln>
            </c:spPr>
          </c:marker>
          <c:errBars>
            <c:errDir val="y"/>
            <c:errBarType val="both"/>
            <c:errValType val="cust"/>
            <c:noEndCap val="0"/>
            <c:pl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plus>
            <c:min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Bac!$AI$48:$AN$48</c:f>
              <c:numCache>
                <c:formatCode>0.00</c:formatCode>
                <c:ptCount val="6"/>
                <c:pt idx="0">
                  <c:v>0.42489696969696966</c:v>
                </c:pt>
                <c:pt idx="1">
                  <c:v>1.0352831683168318</c:v>
                </c:pt>
                <c:pt idx="2">
                  <c:v>12.202431683168316</c:v>
                </c:pt>
                <c:pt idx="3">
                  <c:v>14.023111111111112</c:v>
                </c:pt>
                <c:pt idx="4">
                  <c:v>13.519466666666665</c:v>
                </c:pt>
                <c:pt idx="5">
                  <c:v>13.159305050505051</c:v>
                </c:pt>
              </c:numCache>
            </c:numRef>
          </c:yVal>
          <c:smooth val="0"/>
          <c:extLst>
            <c:ext xmlns:c16="http://schemas.microsoft.com/office/drawing/2014/chart" uri="{C3380CC4-5D6E-409C-BE32-E72D297353CC}">
              <c16:uniqueId val="{00000005-4425-4993-A20E-A565285B0C41}"/>
            </c:ext>
          </c:extLst>
        </c:ser>
        <c:dLbls>
          <c:showLegendKey val="0"/>
          <c:showVal val="0"/>
          <c:showCatName val="0"/>
          <c:showSerName val="0"/>
          <c:showPercent val="0"/>
          <c:showBubbleSize val="0"/>
        </c:dLbls>
        <c:axId val="121785344"/>
        <c:axId val="121787520"/>
      </c:scatterChart>
      <c:valAx>
        <c:axId val="121785344"/>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1787520"/>
        <c:crosses val="autoZero"/>
        <c:crossBetween val="midCat"/>
      </c:valAx>
      <c:valAx>
        <c:axId val="121787520"/>
        <c:scaling>
          <c:orientation val="minMax"/>
          <c:max val="160"/>
        </c:scaling>
        <c:delete val="0"/>
        <c:axPos val="l"/>
        <c:title>
          <c:tx>
            <c:rich>
              <a:bodyPr rot="-5400000" vert="horz"/>
              <a:lstStyle/>
              <a:p>
                <a:pPr>
                  <a:defRPr/>
                </a:pPr>
                <a:r>
                  <a:rPr lang="en-CA"/>
                  <a:t>Bacteria (x10</a:t>
                </a:r>
                <a:r>
                  <a:rPr lang="en-CA" baseline="30000"/>
                  <a:t>5</a:t>
                </a:r>
                <a:r>
                  <a:rPr lang="en-CA"/>
                  <a:t> ml</a:t>
                </a:r>
                <a:r>
                  <a:rPr lang="en-CA" baseline="30000"/>
                  <a:t>-1</a:t>
                </a:r>
                <a:r>
                  <a:rPr lang="en-CA"/>
                  <a:t>)</a:t>
                </a:r>
              </a:p>
            </c:rich>
          </c:tx>
          <c:overlay val="0"/>
        </c:title>
        <c:numFmt formatCode="0" sourceLinked="0"/>
        <c:majorTickMark val="out"/>
        <c:minorTickMark val="none"/>
        <c:tickLblPos val="nextTo"/>
        <c:crossAx val="121785344"/>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Bac!$AH$43</c:f>
              <c:strCache>
                <c:ptCount val="1"/>
                <c:pt idx="0">
                  <c:v>Syn+Bac+lysate</c:v>
                </c:pt>
              </c:strCache>
            </c:strRef>
          </c:tx>
          <c:spPr>
            <a:ln w="28575">
              <a:solidFill>
                <a:schemeClr val="accent2"/>
              </a:solidFill>
            </a:ln>
          </c:spPr>
          <c:marker>
            <c:spPr>
              <a:solidFill>
                <a:schemeClr val="accent2"/>
              </a:solidFill>
              <a:ln>
                <a:solidFill>
                  <a:schemeClr val="accent2"/>
                </a:solidFill>
              </a:ln>
            </c:spPr>
          </c:marker>
          <c:errBars>
            <c:errDir val="y"/>
            <c:errBarType val="both"/>
            <c:errValType val="cust"/>
            <c:noEndCap val="0"/>
            <c:pl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plus>
            <c:minus>
              <c:numRef>
                <c:f>Bac!$AI$50:$AN$50</c:f>
                <c:numCache>
                  <c:formatCode>General</c:formatCode>
                  <c:ptCount val="6"/>
                  <c:pt idx="0">
                    <c:v>4.696644914491864E-2</c:v>
                  </c:pt>
                  <c:pt idx="1">
                    <c:v>1.8349941724408776</c:v>
                  </c:pt>
                  <c:pt idx="2">
                    <c:v>0.61424393956506773</c:v>
                  </c:pt>
                  <c:pt idx="3">
                    <c:v>0.33208931116777923</c:v>
                  </c:pt>
                  <c:pt idx="4">
                    <c:v>0.46070682040591382</c:v>
                  </c:pt>
                  <c:pt idx="5">
                    <c:v>9.6190338918353394E-2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Bac!$AI$43:$AN$43</c:f>
              <c:numCache>
                <c:formatCode>0.00</c:formatCode>
                <c:ptCount val="6"/>
                <c:pt idx="0">
                  <c:v>1.8379690235690234</c:v>
                </c:pt>
                <c:pt idx="1">
                  <c:v>3.6536765676567655</c:v>
                </c:pt>
                <c:pt idx="2">
                  <c:v>7.8998019801980206</c:v>
                </c:pt>
                <c:pt idx="3">
                  <c:v>9.8904915824915811</c:v>
                </c:pt>
                <c:pt idx="4">
                  <c:v>11.415603960396037</c:v>
                </c:pt>
                <c:pt idx="5">
                  <c:v>13.627797979797981</c:v>
                </c:pt>
              </c:numCache>
            </c:numRef>
          </c:yVal>
          <c:smooth val="0"/>
          <c:extLst>
            <c:ext xmlns:c16="http://schemas.microsoft.com/office/drawing/2014/chart" uri="{C3380CC4-5D6E-409C-BE32-E72D297353CC}">
              <c16:uniqueId val="{00000000-614C-4C95-89EA-96E361B3828B}"/>
            </c:ext>
          </c:extLst>
        </c:ser>
        <c:ser>
          <c:idx val="1"/>
          <c:order val="1"/>
          <c:tx>
            <c:strRef>
              <c:f>Bac!$AH$44</c:f>
              <c:strCache>
                <c:ptCount val="1"/>
                <c:pt idx="0">
                  <c:v>Syn+Bac</c:v>
                </c:pt>
              </c:strCache>
            </c:strRef>
          </c:tx>
          <c:spPr>
            <a:ln w="28575">
              <a:solidFill>
                <a:schemeClr val="accent6"/>
              </a:solidFill>
            </a:ln>
          </c:spPr>
          <c:marker>
            <c:spPr>
              <a:solidFill>
                <a:schemeClr val="accent6"/>
              </a:solidFill>
              <a:ln>
                <a:solidFill>
                  <a:schemeClr val="accent6"/>
                </a:solidFill>
              </a:ln>
            </c:spPr>
          </c:marker>
          <c:errBars>
            <c:errDir val="y"/>
            <c:errBarType val="both"/>
            <c:errValType val="cust"/>
            <c:noEndCap val="0"/>
            <c:pl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plus>
            <c:minus>
              <c:numRef>
                <c:f>Bac!$AI$51:$AN$51</c:f>
                <c:numCache>
                  <c:formatCode>General</c:formatCode>
                  <c:ptCount val="6"/>
                  <c:pt idx="0">
                    <c:v>1.238967490527987E-2</c:v>
                  </c:pt>
                  <c:pt idx="1">
                    <c:v>0.89968419055511251</c:v>
                  </c:pt>
                  <c:pt idx="2">
                    <c:v>0.23839688097143702</c:v>
                  </c:pt>
                  <c:pt idx="3">
                    <c:v>0.5095655995752566</c:v>
                  </c:pt>
                  <c:pt idx="4">
                    <c:v>0.26459215318390539</c:v>
                  </c:pt>
                  <c:pt idx="5">
                    <c:v>5.4275604161842704E-2</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Bac!$AI$44:$AN$44</c:f>
              <c:numCache>
                <c:formatCode>0.00</c:formatCode>
                <c:ptCount val="6"/>
                <c:pt idx="0">
                  <c:v>1.9906316498316496</c:v>
                </c:pt>
                <c:pt idx="1">
                  <c:v>1.7993359735973595</c:v>
                </c:pt>
                <c:pt idx="2">
                  <c:v>3.6721544554455448</c:v>
                </c:pt>
                <c:pt idx="3">
                  <c:v>5.3595057239057242</c:v>
                </c:pt>
                <c:pt idx="4">
                  <c:v>6.3208290429042897</c:v>
                </c:pt>
                <c:pt idx="5">
                  <c:v>6.3543340067340068</c:v>
                </c:pt>
              </c:numCache>
            </c:numRef>
          </c:yVal>
          <c:smooth val="0"/>
          <c:extLst>
            <c:ext xmlns:c16="http://schemas.microsoft.com/office/drawing/2014/chart" uri="{C3380CC4-5D6E-409C-BE32-E72D297353CC}">
              <c16:uniqueId val="{00000001-614C-4C95-89EA-96E361B3828B}"/>
            </c:ext>
          </c:extLst>
        </c:ser>
        <c:ser>
          <c:idx val="2"/>
          <c:order val="2"/>
          <c:tx>
            <c:strRef>
              <c:f>Bac!$AH$45</c:f>
              <c:strCache>
                <c:ptCount val="1"/>
                <c:pt idx="0">
                  <c:v>Syn+lysate</c:v>
                </c:pt>
              </c:strCache>
            </c:strRef>
          </c:tx>
          <c:spPr>
            <a:ln w="28575">
              <a:solidFill>
                <a:schemeClr val="accent3"/>
              </a:solidFill>
            </a:ln>
          </c:spPr>
          <c:marker>
            <c:spPr>
              <a:ln>
                <a:solidFill>
                  <a:schemeClr val="accent3"/>
                </a:solidFill>
              </a:ln>
            </c:spPr>
          </c:marker>
          <c:errBars>
            <c:errDir val="y"/>
            <c:errBarType val="both"/>
            <c:errValType val="cust"/>
            <c:noEndCap val="0"/>
            <c:pl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plus>
            <c:minus>
              <c:numRef>
                <c:f>Bac!$AI$52:$AN$52</c:f>
                <c:numCache>
                  <c:formatCode>General</c:formatCode>
                  <c:ptCount val="6"/>
                  <c:pt idx="0">
                    <c:v>2.9068639717965677E-2</c:v>
                  </c:pt>
                  <c:pt idx="1">
                    <c:v>1.7820441892151746</c:v>
                  </c:pt>
                  <c:pt idx="2">
                    <c:v>0.14008472422471632</c:v>
                  </c:pt>
                  <c:pt idx="3">
                    <c:v>0.17251706901478542</c:v>
                  </c:pt>
                  <c:pt idx="4">
                    <c:v>0.32263808612532169</c:v>
                  </c:pt>
                  <c:pt idx="5">
                    <c:v>0.17398211248599177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Bac!$AI$45:$AN$45</c:f>
              <c:numCache>
                <c:formatCode>0.00</c:formatCode>
                <c:ptCount val="6"/>
                <c:pt idx="0">
                  <c:v>1.6272686868686865</c:v>
                </c:pt>
                <c:pt idx="1">
                  <c:v>3.563260726072607</c:v>
                </c:pt>
                <c:pt idx="2">
                  <c:v>6.9376633663366336</c:v>
                </c:pt>
                <c:pt idx="3">
                  <c:v>8.4658181818181824</c:v>
                </c:pt>
                <c:pt idx="4">
                  <c:v>9.6191947194719472</c:v>
                </c:pt>
                <c:pt idx="5">
                  <c:v>10.230141414141412</c:v>
                </c:pt>
              </c:numCache>
            </c:numRef>
          </c:yVal>
          <c:smooth val="0"/>
          <c:extLst>
            <c:ext xmlns:c16="http://schemas.microsoft.com/office/drawing/2014/chart" uri="{C3380CC4-5D6E-409C-BE32-E72D297353CC}">
              <c16:uniqueId val="{00000002-614C-4C95-89EA-96E361B3828B}"/>
            </c:ext>
          </c:extLst>
        </c:ser>
        <c:ser>
          <c:idx val="5"/>
          <c:order val="3"/>
          <c:tx>
            <c:strRef>
              <c:f>Bac!$AH$48</c:f>
              <c:strCache>
                <c:ptCount val="1"/>
                <c:pt idx="0">
                  <c:v>Bac+lysate</c:v>
                </c:pt>
              </c:strCache>
            </c:strRef>
          </c:tx>
          <c:spPr>
            <a:ln w="28575">
              <a:solidFill>
                <a:schemeClr val="accent4"/>
              </a:solidFill>
            </a:ln>
          </c:spPr>
          <c:marker>
            <c:spPr>
              <a:solidFill>
                <a:schemeClr val="accent4"/>
              </a:solidFill>
              <a:ln>
                <a:solidFill>
                  <a:schemeClr val="accent4"/>
                </a:solidFill>
              </a:ln>
            </c:spPr>
          </c:marker>
          <c:errBars>
            <c:errDir val="y"/>
            <c:errBarType val="both"/>
            <c:errValType val="cust"/>
            <c:noEndCap val="0"/>
            <c:pl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plus>
            <c:minus>
              <c:numRef>
                <c:f>Bac!$AI$55:$AN$55</c:f>
                <c:numCache>
                  <c:formatCode>General</c:formatCode>
                  <c:ptCount val="6"/>
                  <c:pt idx="0">
                    <c:v>2.3160821018302019E-3</c:v>
                  </c:pt>
                  <c:pt idx="1">
                    <c:v>0.51771062152749781</c:v>
                  </c:pt>
                  <c:pt idx="2">
                    <c:v>5.9647571558810918E-2</c:v>
                  </c:pt>
                  <c:pt idx="3">
                    <c:v>0.16981499983800771</c:v>
                  </c:pt>
                  <c:pt idx="4">
                    <c:v>0.23778649620568842</c:v>
                  </c:pt>
                  <c:pt idx="5">
                    <c:v>0.14999939913493837</c:v>
                  </c:pt>
                </c:numCache>
              </c:numRef>
            </c:minus>
          </c:errBars>
          <c:xVal>
            <c:numRef>
              <c:f>Bac!$AI$42:$AN$42</c:f>
              <c:numCache>
                <c:formatCode>General</c:formatCode>
                <c:ptCount val="6"/>
                <c:pt idx="0">
                  <c:v>0</c:v>
                </c:pt>
                <c:pt idx="1">
                  <c:v>1</c:v>
                </c:pt>
                <c:pt idx="2">
                  <c:v>2</c:v>
                </c:pt>
                <c:pt idx="3">
                  <c:v>3</c:v>
                </c:pt>
                <c:pt idx="4">
                  <c:v>4</c:v>
                </c:pt>
                <c:pt idx="5">
                  <c:v>5</c:v>
                </c:pt>
              </c:numCache>
            </c:numRef>
          </c:xVal>
          <c:yVal>
            <c:numRef>
              <c:f>Bac!$AI$48:$AN$48</c:f>
              <c:numCache>
                <c:formatCode>0.00</c:formatCode>
                <c:ptCount val="6"/>
                <c:pt idx="0">
                  <c:v>0.42489696969696966</c:v>
                </c:pt>
                <c:pt idx="1">
                  <c:v>1.0352831683168318</c:v>
                </c:pt>
                <c:pt idx="2">
                  <c:v>12.202431683168316</c:v>
                </c:pt>
                <c:pt idx="3">
                  <c:v>14.023111111111112</c:v>
                </c:pt>
                <c:pt idx="4">
                  <c:v>13.519466666666665</c:v>
                </c:pt>
                <c:pt idx="5">
                  <c:v>13.159305050505051</c:v>
                </c:pt>
              </c:numCache>
            </c:numRef>
          </c:yVal>
          <c:smooth val="0"/>
          <c:extLst>
            <c:ext xmlns:c16="http://schemas.microsoft.com/office/drawing/2014/chart" uri="{C3380CC4-5D6E-409C-BE32-E72D297353CC}">
              <c16:uniqueId val="{00000003-614C-4C95-89EA-96E361B3828B}"/>
            </c:ext>
          </c:extLst>
        </c:ser>
        <c:dLbls>
          <c:showLegendKey val="0"/>
          <c:showVal val="0"/>
          <c:showCatName val="0"/>
          <c:showSerName val="0"/>
          <c:showPercent val="0"/>
          <c:showBubbleSize val="0"/>
        </c:dLbls>
        <c:axId val="122426496"/>
        <c:axId val="122428416"/>
      </c:scatterChart>
      <c:valAx>
        <c:axId val="122426496"/>
        <c:scaling>
          <c:orientation val="minMax"/>
        </c:scaling>
        <c:delete val="0"/>
        <c:axPos val="b"/>
        <c:title>
          <c:tx>
            <c:rich>
              <a:bodyPr/>
              <a:lstStyle/>
              <a:p>
                <a:pPr>
                  <a:defRPr/>
                </a:pPr>
                <a:r>
                  <a:rPr lang="en-CA"/>
                  <a:t>Time (d)</a:t>
                </a:r>
              </a:p>
            </c:rich>
          </c:tx>
          <c:overlay val="0"/>
        </c:title>
        <c:numFmt formatCode="General" sourceLinked="1"/>
        <c:majorTickMark val="out"/>
        <c:minorTickMark val="none"/>
        <c:tickLblPos val="nextTo"/>
        <c:crossAx val="122428416"/>
        <c:crosses val="autoZero"/>
        <c:crossBetween val="midCat"/>
      </c:valAx>
      <c:valAx>
        <c:axId val="122428416"/>
        <c:scaling>
          <c:orientation val="minMax"/>
          <c:max val="160"/>
        </c:scaling>
        <c:delete val="0"/>
        <c:axPos val="l"/>
        <c:title>
          <c:tx>
            <c:rich>
              <a:bodyPr rot="-5400000" vert="horz"/>
              <a:lstStyle/>
              <a:p>
                <a:pPr>
                  <a:defRPr/>
                </a:pPr>
                <a:r>
                  <a:rPr lang="en-CA"/>
                  <a:t>Bacteria (x10</a:t>
                </a:r>
                <a:r>
                  <a:rPr lang="en-CA" baseline="30000"/>
                  <a:t>5</a:t>
                </a:r>
                <a:r>
                  <a:rPr lang="en-CA"/>
                  <a:t> ml</a:t>
                </a:r>
                <a:r>
                  <a:rPr lang="en-CA" baseline="30000"/>
                  <a:t>-1</a:t>
                </a:r>
                <a:r>
                  <a:rPr lang="en-CA"/>
                  <a:t>)</a:t>
                </a:r>
              </a:p>
            </c:rich>
          </c:tx>
          <c:overlay val="0"/>
        </c:title>
        <c:numFmt formatCode="0" sourceLinked="0"/>
        <c:majorTickMark val="out"/>
        <c:minorTickMark val="none"/>
        <c:tickLblPos val="nextTo"/>
        <c:crossAx val="122426496"/>
        <c:crosses val="autoZero"/>
        <c:crossBetween val="midCat"/>
      </c:valAx>
    </c:plotArea>
    <c:legend>
      <c:legendPos val="r"/>
      <c:overlay val="0"/>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4"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8.xml"/><Relationship Id="rId13" Type="http://schemas.openxmlformats.org/officeDocument/2006/relationships/chart" Target="../charts/chart23.xml"/><Relationship Id="rId3" Type="http://schemas.openxmlformats.org/officeDocument/2006/relationships/chart" Target="../charts/chart13.xml"/><Relationship Id="rId7" Type="http://schemas.openxmlformats.org/officeDocument/2006/relationships/chart" Target="../charts/chart17.xml"/><Relationship Id="rId12" Type="http://schemas.openxmlformats.org/officeDocument/2006/relationships/chart" Target="../charts/chart22.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11" Type="http://schemas.openxmlformats.org/officeDocument/2006/relationships/chart" Target="../charts/chart21.xml"/><Relationship Id="rId5" Type="http://schemas.openxmlformats.org/officeDocument/2006/relationships/chart" Target="../charts/chart15.xml"/><Relationship Id="rId15" Type="http://schemas.openxmlformats.org/officeDocument/2006/relationships/chart" Target="../charts/chart25.xml"/><Relationship Id="rId10" Type="http://schemas.openxmlformats.org/officeDocument/2006/relationships/chart" Target="../charts/chart20.xml"/><Relationship Id="rId4" Type="http://schemas.openxmlformats.org/officeDocument/2006/relationships/chart" Target="../charts/chart14.xml"/><Relationship Id="rId9" Type="http://schemas.openxmlformats.org/officeDocument/2006/relationships/chart" Target="../charts/chart19.xml"/><Relationship Id="rId14" Type="http://schemas.openxmlformats.org/officeDocument/2006/relationships/chart" Target="../charts/chart24.xml"/></Relationships>
</file>

<file path=xl/drawings/_rels/drawing7.xml.rels><?xml version="1.0" encoding="UTF-8" standalone="yes"?>
<Relationships xmlns="http://schemas.openxmlformats.org/package/2006/relationships"><Relationship Id="rId8" Type="http://schemas.openxmlformats.org/officeDocument/2006/relationships/chart" Target="../charts/chart33.xml"/><Relationship Id="rId3" Type="http://schemas.openxmlformats.org/officeDocument/2006/relationships/chart" Target="../charts/chart28.xml"/><Relationship Id="rId7" Type="http://schemas.openxmlformats.org/officeDocument/2006/relationships/chart" Target="../charts/chart32.xml"/><Relationship Id="rId12" Type="http://schemas.openxmlformats.org/officeDocument/2006/relationships/chart" Target="../charts/chart37.xml"/><Relationship Id="rId2" Type="http://schemas.openxmlformats.org/officeDocument/2006/relationships/chart" Target="../charts/chart27.xml"/><Relationship Id="rId1" Type="http://schemas.openxmlformats.org/officeDocument/2006/relationships/chart" Target="../charts/chart26.xml"/><Relationship Id="rId6" Type="http://schemas.openxmlformats.org/officeDocument/2006/relationships/chart" Target="../charts/chart31.xml"/><Relationship Id="rId11" Type="http://schemas.openxmlformats.org/officeDocument/2006/relationships/chart" Target="../charts/chart36.xml"/><Relationship Id="rId5" Type="http://schemas.openxmlformats.org/officeDocument/2006/relationships/chart" Target="../charts/chart30.xml"/><Relationship Id="rId10" Type="http://schemas.openxmlformats.org/officeDocument/2006/relationships/chart" Target="../charts/chart35.xml"/><Relationship Id="rId4" Type="http://schemas.openxmlformats.org/officeDocument/2006/relationships/chart" Target="../charts/chart29.xml"/><Relationship Id="rId9" Type="http://schemas.openxmlformats.org/officeDocument/2006/relationships/chart" Target="../charts/chart3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40.xml"/><Relationship Id="rId2" Type="http://schemas.openxmlformats.org/officeDocument/2006/relationships/chart" Target="../charts/chart39.xml"/><Relationship Id="rId1" Type="http://schemas.openxmlformats.org/officeDocument/2006/relationships/chart" Target="../charts/chart38.xml"/><Relationship Id="rId6" Type="http://schemas.openxmlformats.org/officeDocument/2006/relationships/chart" Target="../charts/chart43.xml"/><Relationship Id="rId5" Type="http://schemas.openxmlformats.org/officeDocument/2006/relationships/chart" Target="../charts/chart42.xml"/><Relationship Id="rId4" Type="http://schemas.openxmlformats.org/officeDocument/2006/relationships/chart" Target="../charts/chart41.xml"/></Relationships>
</file>

<file path=xl/drawings/drawing1.xml><?xml version="1.0" encoding="utf-8"?>
<xdr:wsDr xmlns:xdr="http://schemas.openxmlformats.org/drawingml/2006/spreadsheetDrawing" xmlns:a="http://schemas.openxmlformats.org/drawingml/2006/main">
  <xdr:twoCellAnchor>
    <xdr:from>
      <xdr:col>11</xdr:col>
      <xdr:colOff>180975</xdr:colOff>
      <xdr:row>29</xdr:row>
      <xdr:rowOff>80962</xdr:rowOff>
    </xdr:from>
    <xdr:to>
      <xdr:col>18</xdr:col>
      <xdr:colOff>485775</xdr:colOff>
      <xdr:row>43</xdr:row>
      <xdr:rowOff>157162</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571500</xdr:colOff>
      <xdr:row>85</xdr:row>
      <xdr:rowOff>147637</xdr:rowOff>
    </xdr:from>
    <xdr:to>
      <xdr:col>18</xdr:col>
      <xdr:colOff>266700</xdr:colOff>
      <xdr:row>100</xdr:row>
      <xdr:rowOff>33337</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45</xdr:row>
      <xdr:rowOff>0</xdr:rowOff>
    </xdr:from>
    <xdr:to>
      <xdr:col>18</xdr:col>
      <xdr:colOff>304800</xdr:colOff>
      <xdr:row>59</xdr:row>
      <xdr:rowOff>104775</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247650</xdr:colOff>
      <xdr:row>55</xdr:row>
      <xdr:rowOff>157162</xdr:rowOff>
    </xdr:from>
    <xdr:to>
      <xdr:col>30</xdr:col>
      <xdr:colOff>552450</xdr:colOff>
      <xdr:row>70</xdr:row>
      <xdr:rowOff>42862</xdr:rowOff>
    </xdr:to>
    <xdr:graphicFrame macro="">
      <xdr:nvGraphicFramePr>
        <xdr:cNvPr id="5" name="Chart 4">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104775</xdr:colOff>
      <xdr:row>61</xdr:row>
      <xdr:rowOff>176212</xdr:rowOff>
    </xdr:from>
    <xdr:to>
      <xdr:col>19</xdr:col>
      <xdr:colOff>409575</xdr:colOff>
      <xdr:row>76</xdr:row>
      <xdr:rowOff>61912</xdr:rowOff>
    </xdr:to>
    <xdr:graphicFrame macro="">
      <xdr:nvGraphicFramePr>
        <xdr:cNvPr id="6" name="Chart 5">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0</xdr:colOff>
      <xdr:row>57</xdr:row>
      <xdr:rowOff>80962</xdr:rowOff>
    </xdr:from>
    <xdr:to>
      <xdr:col>24</xdr:col>
      <xdr:colOff>304800</xdr:colOff>
      <xdr:row>71</xdr:row>
      <xdr:rowOff>157162</xdr:rowOff>
    </xdr:to>
    <xdr:graphicFrame macro="">
      <xdr:nvGraphicFramePr>
        <xdr:cNvPr id="7" name="Chart 6">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0.17771</cdr:x>
      <cdr:y>0.06151</cdr:y>
    </cdr:from>
    <cdr:to>
      <cdr:x>0.25672</cdr:x>
      <cdr:y>0.14355</cdr:y>
    </cdr:to>
    <cdr:sp macro="" textlink="">
      <cdr:nvSpPr>
        <cdr:cNvPr id="2" name="Text Box 1">
          <a:extLst xmlns:a="http://schemas.openxmlformats.org/drawingml/2006/main">
            <a:ext uri="{FF2B5EF4-FFF2-40B4-BE49-F238E27FC236}">
              <a16:creationId xmlns:a16="http://schemas.microsoft.com/office/drawing/2014/main" id="{C5D621A6-5BD3-4D11-96CB-03E973041C74}"/>
            </a:ext>
          </a:extLst>
        </cdr:cNvPr>
        <cdr:cNvSpPr txBox="1"/>
      </cdr:nvSpPr>
      <cdr:spPr>
        <a:xfrm xmlns:a="http://schemas.openxmlformats.org/drawingml/2006/main">
          <a:off x="812508" y="170483"/>
          <a:ext cx="361223" cy="2274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600" b="1"/>
            <a:t>A</a:t>
          </a:r>
          <a:endParaRPr lang="en-CA" sz="1100" b="1"/>
        </a:p>
      </cdr:txBody>
    </cdr:sp>
  </cdr:relSizeAnchor>
</c:userShapes>
</file>

<file path=xl/drawings/drawing3.xml><?xml version="1.0" encoding="utf-8"?>
<xdr:wsDr xmlns:xdr="http://schemas.openxmlformats.org/drawingml/2006/spreadsheetDrawing" xmlns:a="http://schemas.openxmlformats.org/drawingml/2006/main">
  <xdr:twoCellAnchor>
    <xdr:from>
      <xdr:col>32</xdr:col>
      <xdr:colOff>361950</xdr:colOff>
      <xdr:row>56</xdr:row>
      <xdr:rowOff>61912</xdr:rowOff>
    </xdr:from>
    <xdr:to>
      <xdr:col>40</xdr:col>
      <xdr:colOff>57150</xdr:colOff>
      <xdr:row>70</xdr:row>
      <xdr:rowOff>138112</xdr:rowOff>
    </xdr:to>
    <xdr:graphicFrame macro="">
      <xdr:nvGraphicFramePr>
        <xdr:cNvPr id="3" name="Chart 2">
          <a:extLst>
            <a:ext uri="{FF2B5EF4-FFF2-40B4-BE49-F238E27FC236}">
              <a16:creationId xmlns:a16="http://schemas.microsoft.com/office/drawing/2014/main"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32</xdr:col>
      <xdr:colOff>0</xdr:colOff>
      <xdr:row>72</xdr:row>
      <xdr:rowOff>0</xdr:rowOff>
    </xdr:from>
    <xdr:to>
      <xdr:col>39</xdr:col>
      <xdr:colOff>304800</xdr:colOff>
      <xdr:row>86</xdr:row>
      <xdr:rowOff>76200</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0</xdr:colOff>
      <xdr:row>73</xdr:row>
      <xdr:rowOff>0</xdr:rowOff>
    </xdr:from>
    <xdr:to>
      <xdr:col>32</xdr:col>
      <xdr:colOff>304800</xdr:colOff>
      <xdr:row>87</xdr:row>
      <xdr:rowOff>76200</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41</xdr:col>
      <xdr:colOff>0</xdr:colOff>
      <xdr:row>56</xdr:row>
      <xdr:rowOff>0</xdr:rowOff>
    </xdr:from>
    <xdr:to>
      <xdr:col>48</xdr:col>
      <xdr:colOff>304800</xdr:colOff>
      <xdr:row>70</xdr:row>
      <xdr:rowOff>76200</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0.14656</cdr:x>
      <cdr:y>0.05864</cdr:y>
    </cdr:from>
    <cdr:to>
      <cdr:x>0.22683</cdr:x>
      <cdr:y>0.15762</cdr:y>
    </cdr:to>
    <cdr:sp macro="" textlink="">
      <cdr:nvSpPr>
        <cdr:cNvPr id="2" name="Text Box 1">
          <a:extLst xmlns:a="http://schemas.openxmlformats.org/drawingml/2006/main">
            <a:ext uri="{FF2B5EF4-FFF2-40B4-BE49-F238E27FC236}">
              <a16:creationId xmlns:a16="http://schemas.microsoft.com/office/drawing/2014/main" id="{E0173423-798D-4315-895D-D9EF7BA3D366}"/>
            </a:ext>
          </a:extLst>
        </cdr:cNvPr>
        <cdr:cNvSpPr txBox="1"/>
      </cdr:nvSpPr>
      <cdr:spPr>
        <a:xfrm xmlns:a="http://schemas.openxmlformats.org/drawingml/2006/main">
          <a:off x="694461" y="160872"/>
          <a:ext cx="380330" cy="271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600" b="1"/>
            <a:t>C</a:t>
          </a:r>
          <a:endParaRPr lang="en-CA" sz="1100" b="1"/>
        </a:p>
      </cdr:txBody>
    </cdr:sp>
  </cdr:relSizeAnchor>
</c:userShapes>
</file>

<file path=xl/drawings/drawing5.xml><?xml version="1.0" encoding="utf-8"?>
<xdr:wsDr xmlns:xdr="http://schemas.openxmlformats.org/drawingml/2006/spreadsheetDrawing" xmlns:a="http://schemas.openxmlformats.org/drawingml/2006/main">
  <xdr:twoCellAnchor>
    <xdr:from>
      <xdr:col>6</xdr:col>
      <xdr:colOff>50799</xdr:colOff>
      <xdr:row>0</xdr:row>
      <xdr:rowOff>171451</xdr:rowOff>
    </xdr:from>
    <xdr:to>
      <xdr:col>9</xdr:col>
      <xdr:colOff>390525</xdr:colOff>
      <xdr:row>5</xdr:row>
      <xdr:rowOff>171451</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457200</xdr:colOff>
      <xdr:row>33</xdr:row>
      <xdr:rowOff>142875</xdr:rowOff>
    </xdr:from>
    <xdr:to>
      <xdr:col>22</xdr:col>
      <xdr:colOff>152400</xdr:colOff>
      <xdr:row>48</xdr:row>
      <xdr:rowOff>28575</xdr:rowOff>
    </xdr:to>
    <xdr:graphicFrame macro="">
      <xdr:nvGraphicFramePr>
        <xdr:cNvPr id="6" name="Chart 5">
          <a:extLst>
            <a:ext uri="{FF2B5EF4-FFF2-40B4-BE49-F238E27FC236}">
              <a16:creationId xmlns:a16="http://schemas.microsoft.com/office/drawing/2014/main" id="{00000000-0008-0000-0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209550</xdr:colOff>
      <xdr:row>33</xdr:row>
      <xdr:rowOff>152400</xdr:rowOff>
    </xdr:from>
    <xdr:to>
      <xdr:col>29</xdr:col>
      <xdr:colOff>514350</xdr:colOff>
      <xdr:row>49</xdr:row>
      <xdr:rowOff>171450</xdr:rowOff>
    </xdr:to>
    <xdr:graphicFrame macro="">
      <xdr:nvGraphicFramePr>
        <xdr:cNvPr id="3" name="Chart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50799</xdr:colOff>
      <xdr:row>1</xdr:row>
      <xdr:rowOff>133349</xdr:rowOff>
    </xdr:from>
    <xdr:to>
      <xdr:col>17</xdr:col>
      <xdr:colOff>9524</xdr:colOff>
      <xdr:row>5</xdr:row>
      <xdr:rowOff>171450</xdr:rowOff>
    </xdr:to>
    <xdr:graphicFrame macro="">
      <xdr:nvGraphicFramePr>
        <xdr:cNvPr id="7" name="Chart 6">
          <a:extLst>
            <a:ext uri="{FF2B5EF4-FFF2-40B4-BE49-F238E27FC236}">
              <a16:creationId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50799</xdr:colOff>
      <xdr:row>8</xdr:row>
      <xdr:rowOff>171451</xdr:rowOff>
    </xdr:from>
    <xdr:to>
      <xdr:col>9</xdr:col>
      <xdr:colOff>523875</xdr:colOff>
      <xdr:row>13</xdr:row>
      <xdr:rowOff>161925</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142875</xdr:colOff>
      <xdr:row>8</xdr:row>
      <xdr:rowOff>171451</xdr:rowOff>
    </xdr:from>
    <xdr:to>
      <xdr:col>17</xdr:col>
      <xdr:colOff>390524</xdr:colOff>
      <xdr:row>13</xdr:row>
      <xdr:rowOff>180975</xdr:rowOff>
    </xdr:to>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50799</xdr:colOff>
      <xdr:row>56</xdr:row>
      <xdr:rowOff>171451</xdr:rowOff>
    </xdr:from>
    <xdr:to>
      <xdr:col>9</xdr:col>
      <xdr:colOff>390525</xdr:colOff>
      <xdr:row>61</xdr:row>
      <xdr:rowOff>171451</xdr:rowOff>
    </xdr:to>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50799</xdr:colOff>
      <xdr:row>56</xdr:row>
      <xdr:rowOff>171451</xdr:rowOff>
    </xdr:from>
    <xdr:to>
      <xdr:col>17</xdr:col>
      <xdr:colOff>390525</xdr:colOff>
      <xdr:row>61</xdr:row>
      <xdr:rowOff>171451</xdr:rowOff>
    </xdr:to>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0</xdr:colOff>
      <xdr:row>34</xdr:row>
      <xdr:rowOff>0</xdr:rowOff>
    </xdr:from>
    <xdr:to>
      <xdr:col>38</xdr:col>
      <xdr:colOff>304800</xdr:colOff>
      <xdr:row>48</xdr:row>
      <xdr:rowOff>76200</xdr:rowOff>
    </xdr:to>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22</xdr:col>
      <xdr:colOff>0</xdr:colOff>
      <xdr:row>51</xdr:row>
      <xdr:rowOff>0</xdr:rowOff>
    </xdr:from>
    <xdr:to>
      <xdr:col>29</xdr:col>
      <xdr:colOff>304800</xdr:colOff>
      <xdr:row>67</xdr:row>
      <xdr:rowOff>19050</xdr:rowOff>
    </xdr:to>
    <xdr:graphicFrame macro="">
      <xdr:nvGraphicFramePr>
        <xdr:cNvPr id="13" name="Chart 12">
          <a:extLst>
            <a:ext uri="{FF2B5EF4-FFF2-40B4-BE49-F238E27FC236}">
              <a16:creationId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31</xdr:col>
      <xdr:colOff>0</xdr:colOff>
      <xdr:row>51</xdr:row>
      <xdr:rowOff>0</xdr:rowOff>
    </xdr:from>
    <xdr:to>
      <xdr:col>38</xdr:col>
      <xdr:colOff>304800</xdr:colOff>
      <xdr:row>67</xdr:row>
      <xdr:rowOff>19050</xdr:rowOff>
    </xdr:to>
    <xdr:graphicFrame macro="">
      <xdr:nvGraphicFramePr>
        <xdr:cNvPr id="14" name="Chart 13">
          <a:extLst>
            <a:ext uri="{FF2B5EF4-FFF2-40B4-BE49-F238E27FC236}">
              <a16:creationId xmlns:a16="http://schemas.microsoft.com/office/drawing/2014/main" id="{00000000-0008-0000-02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22</xdr:col>
      <xdr:colOff>0</xdr:colOff>
      <xdr:row>67</xdr:row>
      <xdr:rowOff>0</xdr:rowOff>
    </xdr:from>
    <xdr:to>
      <xdr:col>29</xdr:col>
      <xdr:colOff>304800</xdr:colOff>
      <xdr:row>83</xdr:row>
      <xdr:rowOff>19050</xdr:rowOff>
    </xdr:to>
    <xdr:graphicFrame macro="">
      <xdr:nvGraphicFramePr>
        <xdr:cNvPr id="15" name="Chart 14">
          <a:extLst>
            <a:ext uri="{FF2B5EF4-FFF2-40B4-BE49-F238E27FC236}">
              <a16:creationId xmlns:a16="http://schemas.microsoft.com/office/drawing/2014/main" id="{00000000-0008-0000-02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0</xdr:colOff>
      <xdr:row>68</xdr:row>
      <xdr:rowOff>0</xdr:rowOff>
    </xdr:from>
    <xdr:to>
      <xdr:col>38</xdr:col>
      <xdr:colOff>304800</xdr:colOff>
      <xdr:row>84</xdr:row>
      <xdr:rowOff>19050</xdr:rowOff>
    </xdr:to>
    <xdr:graphicFrame macro="">
      <xdr:nvGraphicFramePr>
        <xdr:cNvPr id="16" name="Chart 15">
          <a:extLst>
            <a:ext uri="{FF2B5EF4-FFF2-40B4-BE49-F238E27FC236}">
              <a16:creationId xmlns:a16="http://schemas.microsoft.com/office/drawing/2014/main" id="{00000000-0008-0000-02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22</xdr:col>
      <xdr:colOff>0</xdr:colOff>
      <xdr:row>85</xdr:row>
      <xdr:rowOff>0</xdr:rowOff>
    </xdr:from>
    <xdr:to>
      <xdr:col>29</xdr:col>
      <xdr:colOff>304800</xdr:colOff>
      <xdr:row>101</xdr:row>
      <xdr:rowOff>47625</xdr:rowOff>
    </xdr:to>
    <xdr:graphicFrame macro="">
      <xdr:nvGraphicFramePr>
        <xdr:cNvPr id="17" name="Chart 16">
          <a:extLst>
            <a:ext uri="{FF2B5EF4-FFF2-40B4-BE49-F238E27FC236}">
              <a16:creationId xmlns:a16="http://schemas.microsoft.com/office/drawing/2014/main" id="{00000000-0008-0000-02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238125</xdr:colOff>
      <xdr:row>85</xdr:row>
      <xdr:rowOff>28575</xdr:rowOff>
    </xdr:from>
    <xdr:to>
      <xdr:col>37</xdr:col>
      <xdr:colOff>542925</xdr:colOff>
      <xdr:row>101</xdr:row>
      <xdr:rowOff>76200</xdr:rowOff>
    </xdr:to>
    <xdr:graphicFrame macro="">
      <xdr:nvGraphicFramePr>
        <xdr:cNvPr id="18" name="Chart 17">
          <a:extLst>
            <a:ext uri="{FF2B5EF4-FFF2-40B4-BE49-F238E27FC236}">
              <a16:creationId xmlns:a16="http://schemas.microsoft.com/office/drawing/2014/main" id="{00000000-0008-0000-02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0.18134</cdr:x>
      <cdr:y>0.0556</cdr:y>
    </cdr:from>
    <cdr:to>
      <cdr:x>0.25348</cdr:x>
      <cdr:y>0.13343</cdr:y>
    </cdr:to>
    <cdr:sp macro="" textlink="">
      <cdr:nvSpPr>
        <cdr:cNvPr id="2" name="Text Box 1">
          <a:extLst xmlns:a="http://schemas.openxmlformats.org/drawingml/2006/main">
            <a:ext uri="{FF2B5EF4-FFF2-40B4-BE49-F238E27FC236}">
              <a16:creationId xmlns:a16="http://schemas.microsoft.com/office/drawing/2014/main" id="{5A2B9E63-1D15-4192-B901-A3F97C1881D3}"/>
            </a:ext>
          </a:extLst>
        </cdr:cNvPr>
        <cdr:cNvSpPr txBox="1"/>
      </cdr:nvSpPr>
      <cdr:spPr>
        <a:xfrm xmlns:a="http://schemas.openxmlformats.org/drawingml/2006/main">
          <a:off x="829102" y="172130"/>
          <a:ext cx="329812" cy="2409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600" b="1"/>
            <a:t>B</a:t>
          </a:r>
          <a:endParaRPr lang="en-CA" sz="1100" b="1"/>
        </a:p>
      </cdr:txBody>
    </cdr:sp>
  </cdr:relSizeAnchor>
</c:userShapes>
</file>

<file path=xl/drawings/drawing7.xml><?xml version="1.0" encoding="utf-8"?>
<xdr:wsDr xmlns:xdr="http://schemas.openxmlformats.org/drawingml/2006/spreadsheetDrawing" xmlns:a="http://schemas.openxmlformats.org/drawingml/2006/main">
  <xdr:twoCellAnchor>
    <xdr:from>
      <xdr:col>9</xdr:col>
      <xdr:colOff>304800</xdr:colOff>
      <xdr:row>6</xdr:row>
      <xdr:rowOff>14287</xdr:rowOff>
    </xdr:from>
    <xdr:to>
      <xdr:col>17</xdr:col>
      <xdr:colOff>0</xdr:colOff>
      <xdr:row>20</xdr:row>
      <xdr:rowOff>90487</xdr:rowOff>
    </xdr:to>
    <xdr:graphicFrame macro="">
      <xdr:nvGraphicFramePr>
        <xdr:cNvPr id="2" name="Chart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114300</xdr:colOff>
      <xdr:row>22</xdr:row>
      <xdr:rowOff>80962</xdr:rowOff>
    </xdr:from>
    <xdr:to>
      <xdr:col>17</xdr:col>
      <xdr:colOff>419100</xdr:colOff>
      <xdr:row>36</xdr:row>
      <xdr:rowOff>157162</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228600</xdr:colOff>
      <xdr:row>24</xdr:row>
      <xdr:rowOff>114300</xdr:rowOff>
    </xdr:from>
    <xdr:to>
      <xdr:col>7</xdr:col>
      <xdr:colOff>514350</xdr:colOff>
      <xdr:row>36</xdr:row>
      <xdr:rowOff>28576</xdr:rowOff>
    </xdr:to>
    <xdr:sp macro="" textlink="">
      <xdr:nvSpPr>
        <xdr:cNvPr id="6" name="TextBox 5">
          <a:extLst>
            <a:ext uri="{FF2B5EF4-FFF2-40B4-BE49-F238E27FC236}">
              <a16:creationId xmlns:a16="http://schemas.microsoft.com/office/drawing/2014/main" id="{00000000-0008-0000-0800-000006000000}"/>
            </a:ext>
          </a:extLst>
        </xdr:cNvPr>
        <xdr:cNvSpPr txBox="1"/>
      </xdr:nvSpPr>
      <xdr:spPr>
        <a:xfrm>
          <a:off x="1447800" y="4686300"/>
          <a:ext cx="4010025" cy="22002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CA" sz="1100"/>
            <a:t>So,</a:t>
          </a:r>
          <a:r>
            <a:rPr lang="en-CA" sz="1100" baseline="0"/>
            <a:t> maximum total nitrogen increase occurs in DC2+Bac+Lys. This means that Bac+Lys is liberating nitrogen sources that DC2 does not have access to otherwise. Assuming the treatments are additive (i.e. that the effects of DC2 growing on Lys and with Bac separately are cumulative), then the addition of all the component treatments approximately equals the experimental treatment alone. This also indicates that there is not synergistic effect I need to account for... what you see is what you get i.e. when you add in Bac and Lys together, they produce a certain amount of ammonium, which DC2 straightforwardly takes up. The stacked bar is a little hgiher, which is expected since there will be some overlap between treatments.</a:t>
          </a:r>
          <a:endParaRPr lang="en-CA" sz="1100"/>
        </a:p>
      </xdr:txBody>
    </xdr:sp>
    <xdr:clientData/>
  </xdr:twoCellAnchor>
  <xdr:twoCellAnchor>
    <xdr:from>
      <xdr:col>9</xdr:col>
      <xdr:colOff>485775</xdr:colOff>
      <xdr:row>50</xdr:row>
      <xdr:rowOff>90487</xdr:rowOff>
    </xdr:from>
    <xdr:to>
      <xdr:col>17</xdr:col>
      <xdr:colOff>180975</xdr:colOff>
      <xdr:row>64</xdr:row>
      <xdr:rowOff>166687</xdr:rowOff>
    </xdr:to>
    <xdr:graphicFrame macro="">
      <xdr:nvGraphicFramePr>
        <xdr:cNvPr id="7" name="Chart 6">
          <a:extLst>
            <a:ext uri="{FF2B5EF4-FFF2-40B4-BE49-F238E27FC236}">
              <a16:creationId xmlns:a16="http://schemas.microsoft.com/office/drawing/2014/main" id="{00000000-0008-0000-08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495300</xdr:colOff>
      <xdr:row>52</xdr:row>
      <xdr:rowOff>142875</xdr:rowOff>
    </xdr:from>
    <xdr:to>
      <xdr:col>17</xdr:col>
      <xdr:colOff>190500</xdr:colOff>
      <xdr:row>67</xdr:row>
      <xdr:rowOff>28575</xdr:rowOff>
    </xdr:to>
    <xdr:graphicFrame macro="">
      <xdr:nvGraphicFramePr>
        <xdr:cNvPr id="8" name="Chart 7">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209550</xdr:colOff>
      <xdr:row>87</xdr:row>
      <xdr:rowOff>80962</xdr:rowOff>
    </xdr:from>
    <xdr:to>
      <xdr:col>17</xdr:col>
      <xdr:colOff>514350</xdr:colOff>
      <xdr:row>101</xdr:row>
      <xdr:rowOff>157162</xdr:rowOff>
    </xdr:to>
    <xdr:graphicFrame macro="">
      <xdr:nvGraphicFramePr>
        <xdr:cNvPr id="4" name="Chart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466725</xdr:colOff>
      <xdr:row>77</xdr:row>
      <xdr:rowOff>33337</xdr:rowOff>
    </xdr:from>
    <xdr:to>
      <xdr:col>7</xdr:col>
      <xdr:colOff>447675</xdr:colOff>
      <xdr:row>91</xdr:row>
      <xdr:rowOff>109537</xdr:rowOff>
    </xdr:to>
    <xdr:graphicFrame macro="">
      <xdr:nvGraphicFramePr>
        <xdr:cNvPr id="9" name="Chart 8">
          <a:extLst>
            <a:ext uri="{FF2B5EF4-FFF2-40B4-BE49-F238E27FC236}">
              <a16:creationId xmlns:a16="http://schemas.microsoft.com/office/drawing/2014/main" id="{00000000-0008-0000-08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xdr:col>
      <xdr:colOff>571500</xdr:colOff>
      <xdr:row>30</xdr:row>
      <xdr:rowOff>123825</xdr:rowOff>
    </xdr:from>
    <xdr:to>
      <xdr:col>24</xdr:col>
      <xdr:colOff>571500</xdr:colOff>
      <xdr:row>45</xdr:row>
      <xdr:rowOff>9525</xdr:rowOff>
    </xdr:to>
    <xdr:graphicFrame macro="">
      <xdr:nvGraphicFramePr>
        <xdr:cNvPr id="10" name="Chart 9">
          <a:extLst>
            <a:ext uri="{FF2B5EF4-FFF2-40B4-BE49-F238E27FC236}">
              <a16:creationId xmlns:a16="http://schemas.microsoft.com/office/drawing/2014/main" id="{00000000-0008-0000-08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590550</xdr:colOff>
      <xdr:row>68</xdr:row>
      <xdr:rowOff>9525</xdr:rowOff>
    </xdr:from>
    <xdr:to>
      <xdr:col>10</xdr:col>
      <xdr:colOff>266700</xdr:colOff>
      <xdr:row>82</xdr:row>
      <xdr:rowOff>85725</xdr:rowOff>
    </xdr:to>
    <xdr:graphicFrame macro="">
      <xdr:nvGraphicFramePr>
        <xdr:cNvPr id="13" name="Chart 12">
          <a:extLst>
            <a:ext uri="{FF2B5EF4-FFF2-40B4-BE49-F238E27FC236}">
              <a16:creationId xmlns:a16="http://schemas.microsoft.com/office/drawing/2014/main" id="{00000000-0008-0000-08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466725</xdr:colOff>
      <xdr:row>78</xdr:row>
      <xdr:rowOff>66675</xdr:rowOff>
    </xdr:from>
    <xdr:to>
      <xdr:col>15</xdr:col>
      <xdr:colOff>161925</xdr:colOff>
      <xdr:row>92</xdr:row>
      <xdr:rowOff>142875</xdr:rowOff>
    </xdr:to>
    <xdr:graphicFrame macro="">
      <xdr:nvGraphicFramePr>
        <xdr:cNvPr id="14" name="Chart 13">
          <a:extLst>
            <a:ext uri="{FF2B5EF4-FFF2-40B4-BE49-F238E27FC236}">
              <a16:creationId xmlns:a16="http://schemas.microsoft.com/office/drawing/2014/main" id="{00000000-0008-0000-08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723900</xdr:colOff>
      <xdr:row>84</xdr:row>
      <xdr:rowOff>9525</xdr:rowOff>
    </xdr:from>
    <xdr:to>
      <xdr:col>9</xdr:col>
      <xdr:colOff>95250</xdr:colOff>
      <xdr:row>98</xdr:row>
      <xdr:rowOff>85725</xdr:rowOff>
    </xdr:to>
    <xdr:graphicFrame macro="">
      <xdr:nvGraphicFramePr>
        <xdr:cNvPr id="15" name="Chart 14">
          <a:extLst>
            <a:ext uri="{FF2B5EF4-FFF2-40B4-BE49-F238E27FC236}">
              <a16:creationId xmlns:a16="http://schemas.microsoft.com/office/drawing/2014/main" id="{00000000-0008-0000-08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16</xdr:col>
      <xdr:colOff>0</xdr:colOff>
      <xdr:row>76</xdr:row>
      <xdr:rowOff>0</xdr:rowOff>
    </xdr:from>
    <xdr:to>
      <xdr:col>23</xdr:col>
      <xdr:colOff>0</xdr:colOff>
      <xdr:row>90</xdr:row>
      <xdr:rowOff>76200</xdr:rowOff>
    </xdr:to>
    <xdr:graphicFrame macro="">
      <xdr:nvGraphicFramePr>
        <xdr:cNvPr id="16" name="Chart 15">
          <a:extLst>
            <a:ext uri="{FF2B5EF4-FFF2-40B4-BE49-F238E27FC236}">
              <a16:creationId xmlns:a16="http://schemas.microsoft.com/office/drawing/2014/main" id="{00000000-0008-0000-08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xdr:col>
      <xdr:colOff>466725</xdr:colOff>
      <xdr:row>76</xdr:row>
      <xdr:rowOff>152400</xdr:rowOff>
    </xdr:from>
    <xdr:to>
      <xdr:col>10</xdr:col>
      <xdr:colOff>142875</xdr:colOff>
      <xdr:row>91</xdr:row>
      <xdr:rowOff>38100</xdr:rowOff>
    </xdr:to>
    <xdr:graphicFrame macro="">
      <xdr:nvGraphicFramePr>
        <xdr:cNvPr id="17" name="Chart 16">
          <a:extLst>
            <a:ext uri="{FF2B5EF4-FFF2-40B4-BE49-F238E27FC236}">
              <a16:creationId xmlns:a16="http://schemas.microsoft.com/office/drawing/2014/main" id="{00000000-0008-0000-0800-000011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19</xdr:col>
      <xdr:colOff>295275</xdr:colOff>
      <xdr:row>25</xdr:row>
      <xdr:rowOff>85725</xdr:rowOff>
    </xdr:from>
    <xdr:to>
      <xdr:col>26</xdr:col>
      <xdr:colOff>600075</xdr:colOff>
      <xdr:row>39</xdr:row>
      <xdr:rowOff>161925</xdr:rowOff>
    </xdr:to>
    <xdr:graphicFrame macro="">
      <xdr:nvGraphicFramePr>
        <xdr:cNvPr id="3" name="Chart 2">
          <a:extLst>
            <a:ext uri="{FF2B5EF4-FFF2-40B4-BE49-F238E27FC236}">
              <a16:creationId xmlns:a16="http://schemas.microsoft.com/office/drawing/2014/main" id="{00000000-0008-0000-09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38100</xdr:colOff>
      <xdr:row>25</xdr:row>
      <xdr:rowOff>171450</xdr:rowOff>
    </xdr:from>
    <xdr:to>
      <xdr:col>26</xdr:col>
      <xdr:colOff>342900</xdr:colOff>
      <xdr:row>40</xdr:row>
      <xdr:rowOff>57150</xdr:rowOff>
    </xdr:to>
    <xdr:graphicFrame macro="">
      <xdr:nvGraphicFramePr>
        <xdr:cNvPr id="4" name="Chart 3">
          <a:extLst>
            <a:ext uri="{FF2B5EF4-FFF2-40B4-BE49-F238E27FC236}">
              <a16:creationId xmlns:a16="http://schemas.microsoft.com/office/drawing/2014/main" id="{00000000-0008-0000-09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9525</xdr:colOff>
      <xdr:row>35</xdr:row>
      <xdr:rowOff>57150</xdr:rowOff>
    </xdr:from>
    <xdr:to>
      <xdr:col>16</xdr:col>
      <xdr:colOff>314325</xdr:colOff>
      <xdr:row>49</xdr:row>
      <xdr:rowOff>133350</xdr:rowOff>
    </xdr:to>
    <xdr:graphicFrame macro="">
      <xdr:nvGraphicFramePr>
        <xdr:cNvPr id="5" name="Chart 4">
          <a:extLst>
            <a:ext uri="{FF2B5EF4-FFF2-40B4-BE49-F238E27FC236}">
              <a16:creationId xmlns:a16="http://schemas.microsoft.com/office/drawing/2014/main" id="{00000000-0008-0000-09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17</xdr:col>
      <xdr:colOff>514350</xdr:colOff>
      <xdr:row>32</xdr:row>
      <xdr:rowOff>57150</xdr:rowOff>
    </xdr:from>
    <xdr:to>
      <xdr:col>25</xdr:col>
      <xdr:colOff>209550</xdr:colOff>
      <xdr:row>46</xdr:row>
      <xdr:rowOff>133350</xdr:rowOff>
    </xdr:to>
    <xdr:graphicFrame macro="">
      <xdr:nvGraphicFramePr>
        <xdr:cNvPr id="6" name="Chart 5">
          <a:extLst>
            <a:ext uri="{FF2B5EF4-FFF2-40B4-BE49-F238E27FC236}">
              <a16:creationId xmlns:a16="http://schemas.microsoft.com/office/drawing/2014/main" id="{00000000-0008-0000-09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400050</xdr:colOff>
      <xdr:row>46</xdr:row>
      <xdr:rowOff>114300</xdr:rowOff>
    </xdr:from>
    <xdr:to>
      <xdr:col>25</xdr:col>
      <xdr:colOff>95250</xdr:colOff>
      <xdr:row>61</xdr:row>
      <xdr:rowOff>0</xdr:rowOff>
    </xdr:to>
    <xdr:graphicFrame macro="">
      <xdr:nvGraphicFramePr>
        <xdr:cNvPr id="7" name="Chart 6">
          <a:extLst>
            <a:ext uri="{FF2B5EF4-FFF2-40B4-BE49-F238E27FC236}">
              <a16:creationId xmlns:a16="http://schemas.microsoft.com/office/drawing/2014/main" id="{00000000-0008-0000-09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17</xdr:col>
      <xdr:colOff>409575</xdr:colOff>
      <xdr:row>61</xdr:row>
      <xdr:rowOff>38100</xdr:rowOff>
    </xdr:from>
    <xdr:to>
      <xdr:col>25</xdr:col>
      <xdr:colOff>104775</xdr:colOff>
      <xdr:row>75</xdr:row>
      <xdr:rowOff>114300</xdr:rowOff>
    </xdr:to>
    <xdr:graphicFrame macro="">
      <xdr:nvGraphicFramePr>
        <xdr:cNvPr id="8" name="Chart 7">
          <a:extLst>
            <a:ext uri="{FF2B5EF4-FFF2-40B4-BE49-F238E27FC236}">
              <a16:creationId xmlns:a16="http://schemas.microsoft.com/office/drawing/2014/main" id="{00000000-0008-0000-09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D9"/>
  <sheetViews>
    <sheetView tabSelected="1" workbookViewId="0"/>
  </sheetViews>
  <sheetFormatPr defaultRowHeight="15"/>
  <cols>
    <col min="2" max="2" width="9.7109375" bestFit="1" customWidth="1"/>
  </cols>
  <sheetData>
    <row r="3" spans="1:4">
      <c r="D3" t="s">
        <v>129</v>
      </c>
    </row>
    <row r="4" spans="1:4">
      <c r="A4" t="s">
        <v>15</v>
      </c>
      <c r="B4" s="1">
        <v>41348</v>
      </c>
      <c r="C4" t="s">
        <v>96</v>
      </c>
      <c r="D4">
        <v>0</v>
      </c>
    </row>
    <row r="5" spans="1:4">
      <c r="A5" t="s">
        <v>16</v>
      </c>
      <c r="B5" s="1">
        <v>41349</v>
      </c>
      <c r="C5" t="s">
        <v>96</v>
      </c>
      <c r="D5">
        <v>1</v>
      </c>
    </row>
    <row r="6" spans="1:4">
      <c r="A6" t="s">
        <v>17</v>
      </c>
      <c r="B6" s="1">
        <v>41350</v>
      </c>
      <c r="C6" t="s">
        <v>96</v>
      </c>
      <c r="D6">
        <v>2</v>
      </c>
    </row>
    <row r="7" spans="1:4">
      <c r="A7" t="s">
        <v>18</v>
      </c>
      <c r="B7" s="1">
        <v>41351</v>
      </c>
      <c r="C7" t="s">
        <v>96</v>
      </c>
      <c r="D7">
        <v>3</v>
      </c>
    </row>
    <row r="8" spans="1:4">
      <c r="A8" t="s">
        <v>19</v>
      </c>
      <c r="B8" s="1">
        <v>41352</v>
      </c>
      <c r="C8" t="s">
        <v>96</v>
      </c>
      <c r="D8">
        <v>4</v>
      </c>
    </row>
    <row r="9" spans="1:4">
      <c r="A9" t="s">
        <v>244</v>
      </c>
      <c r="B9" s="1">
        <v>41353</v>
      </c>
      <c r="C9" t="s">
        <v>96</v>
      </c>
      <c r="D9">
        <v>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87"/>
  <sheetViews>
    <sheetView workbookViewId="0">
      <selection activeCell="M20" sqref="M20"/>
    </sheetView>
  </sheetViews>
  <sheetFormatPr defaultRowHeight="15"/>
  <cols>
    <col min="3" max="4" width="10" bestFit="1" customWidth="1"/>
  </cols>
  <sheetData>
    <row r="1" spans="1:31" ht="39.75">
      <c r="B1" s="3" t="s">
        <v>73</v>
      </c>
      <c r="C1" s="3" t="s">
        <v>74</v>
      </c>
      <c r="D1" s="3" t="s">
        <v>75</v>
      </c>
      <c r="E1" s="3" t="s">
        <v>76</v>
      </c>
      <c r="F1" s="3" t="s">
        <v>79</v>
      </c>
      <c r="G1" s="3" t="s">
        <v>80</v>
      </c>
      <c r="H1" s="3" t="s">
        <v>81</v>
      </c>
      <c r="I1" s="3" t="s">
        <v>82</v>
      </c>
      <c r="J1" s="3" t="s">
        <v>73</v>
      </c>
    </row>
    <row r="2" spans="1:31">
      <c r="B2" s="4"/>
      <c r="C2" s="4"/>
      <c r="D2" s="4"/>
      <c r="E2" s="4"/>
      <c r="F2" s="4"/>
      <c r="G2" s="4"/>
      <c r="H2" s="4"/>
      <c r="I2" s="5"/>
      <c r="J2" s="4"/>
    </row>
    <row r="3" spans="1:31">
      <c r="C3" s="4"/>
      <c r="D3" s="4"/>
      <c r="E3" s="4"/>
      <c r="F3" s="4" t="s">
        <v>121</v>
      </c>
      <c r="G3" s="4">
        <v>72.400000000000006</v>
      </c>
      <c r="I3" s="5"/>
    </row>
    <row r="4" spans="1:31">
      <c r="A4" t="s">
        <v>122</v>
      </c>
      <c r="B4" t="s">
        <v>130</v>
      </c>
      <c r="C4" s="4">
        <v>10</v>
      </c>
      <c r="D4" s="4">
        <v>1</v>
      </c>
      <c r="E4" s="4">
        <v>500</v>
      </c>
      <c r="F4" s="4" t="s">
        <v>121</v>
      </c>
      <c r="G4" s="4">
        <v>72.400000000000006</v>
      </c>
      <c r="H4">
        <v>6017</v>
      </c>
      <c r="I4" s="5">
        <f>((((H4)/((G4*D4)/1000))*C4))/100000</f>
        <v>8.3107734806629825</v>
      </c>
      <c r="J4" t="s">
        <v>130</v>
      </c>
      <c r="N4">
        <v>0</v>
      </c>
      <c r="O4">
        <v>1</v>
      </c>
      <c r="P4">
        <v>2</v>
      </c>
      <c r="Q4">
        <v>3</v>
      </c>
      <c r="R4">
        <v>4</v>
      </c>
      <c r="S4">
        <v>5</v>
      </c>
      <c r="T4" t="s">
        <v>270</v>
      </c>
      <c r="AA4">
        <v>0</v>
      </c>
      <c r="AB4">
        <v>5</v>
      </c>
    </row>
    <row r="5" spans="1:31">
      <c r="A5" t="s">
        <v>123</v>
      </c>
      <c r="B5" t="s">
        <v>130</v>
      </c>
      <c r="C5" s="4">
        <v>10</v>
      </c>
      <c r="D5" s="4">
        <v>1</v>
      </c>
      <c r="E5" s="4">
        <v>500</v>
      </c>
      <c r="F5" s="4" t="s">
        <v>121</v>
      </c>
      <c r="G5" s="4">
        <v>72.400000000000006</v>
      </c>
      <c r="H5">
        <v>5950</v>
      </c>
      <c r="I5" s="5">
        <f t="shared" ref="I5:I64" si="0">((((H5)/((G5*D5)/1000))*C5))/100000</f>
        <v>8.2182320441988939</v>
      </c>
      <c r="J5" t="s">
        <v>130</v>
      </c>
      <c r="M5" t="s">
        <v>1</v>
      </c>
      <c r="N5" s="6">
        <f>I11</f>
        <v>7.7997237569060767</v>
      </c>
      <c r="O5" s="6">
        <f>I23</f>
        <v>9.2886740331491708</v>
      </c>
      <c r="P5" s="6">
        <f>I31</f>
        <v>16.412983425414364</v>
      </c>
      <c r="Q5" s="6">
        <f>I41</f>
        <v>30.046961325966848</v>
      </c>
      <c r="R5" s="6">
        <f>I53</f>
        <v>49.435082872928177</v>
      </c>
      <c r="S5" s="6">
        <f>I66</f>
        <v>51.164345403899716</v>
      </c>
      <c r="T5" s="6">
        <f t="shared" ref="T5:T16" si="1">S5-N5</f>
        <v>43.364621646993641</v>
      </c>
      <c r="Z5" t="str">
        <f>M5</f>
        <v>1a</v>
      </c>
      <c r="AA5" s="6">
        <f>N5*100000000*0.00000000000000783*1000000</f>
        <v>6.1071837016574584</v>
      </c>
      <c r="AB5" s="6">
        <f t="shared" ref="AB5:AB16" si="2">S5*100000000*0.00000000000000783*1000000</f>
        <v>40.061682451253475</v>
      </c>
      <c r="AC5" s="6"/>
      <c r="AD5" s="6"/>
      <c r="AE5" s="6"/>
    </row>
    <row r="6" spans="1:31">
      <c r="A6" t="s">
        <v>124</v>
      </c>
      <c r="B6" t="s">
        <v>131</v>
      </c>
      <c r="C6" s="4">
        <v>10</v>
      </c>
      <c r="D6" s="4">
        <v>1</v>
      </c>
      <c r="E6" s="4">
        <v>500</v>
      </c>
      <c r="F6" s="4" t="s">
        <v>121</v>
      </c>
      <c r="G6" s="4">
        <v>72.400000000000006</v>
      </c>
      <c r="H6">
        <v>6140</v>
      </c>
      <c r="I6" s="5">
        <f t="shared" si="0"/>
        <v>8.4806629834254146</v>
      </c>
      <c r="J6" t="s">
        <v>131</v>
      </c>
      <c r="M6" t="s">
        <v>2</v>
      </c>
      <c r="N6" s="6">
        <f t="shared" ref="N6:N16" si="3">I12</f>
        <v>7.7182320441988939</v>
      </c>
      <c r="O6" s="6">
        <f>I5</f>
        <v>8.2182320441988939</v>
      </c>
      <c r="P6" s="6">
        <f t="shared" ref="P6:P8" si="4">I32</f>
        <v>12.939226519337014</v>
      </c>
      <c r="Q6" s="6">
        <f t="shared" ref="Q6:Q16" si="5">I42</f>
        <v>20.96408839779005</v>
      </c>
      <c r="R6" s="6">
        <f t="shared" ref="R6:R16" si="6">I54</f>
        <v>36.64088397790055</v>
      </c>
      <c r="S6" s="6">
        <f t="shared" ref="S6:S16" si="7">I67</f>
        <v>50.153203342618383</v>
      </c>
      <c r="T6" s="6">
        <f t="shared" si="1"/>
        <v>42.434971298419491</v>
      </c>
      <c r="Z6" t="str">
        <f t="shared" ref="Z6:Z16" si="8">M6</f>
        <v>1b</v>
      </c>
      <c r="AA6" s="6">
        <f t="shared" ref="AA6:AA15" si="9">N6*100000000*0.00000000000000783*1000000</f>
        <v>6.0433756906077338</v>
      </c>
      <c r="AB6" s="6">
        <f t="shared" si="2"/>
        <v>39.269958217270194</v>
      </c>
      <c r="AC6" s="6"/>
      <c r="AD6" s="6"/>
      <c r="AE6" s="6"/>
    </row>
    <row r="7" spans="1:31">
      <c r="A7" t="s">
        <v>125</v>
      </c>
      <c r="B7" t="s">
        <v>132</v>
      </c>
      <c r="C7" s="4">
        <v>10</v>
      </c>
      <c r="D7" s="4">
        <v>1</v>
      </c>
      <c r="E7" s="4">
        <v>500</v>
      </c>
      <c r="F7" s="4" t="s">
        <v>121</v>
      </c>
      <c r="G7" s="4">
        <v>72.400000000000006</v>
      </c>
      <c r="H7">
        <v>5171</v>
      </c>
      <c r="I7" s="5">
        <f t="shared" si="0"/>
        <v>7.1422651933701653</v>
      </c>
      <c r="J7" t="s">
        <v>132</v>
      </c>
      <c r="M7" t="s">
        <v>3</v>
      </c>
      <c r="N7" s="6">
        <f t="shared" si="3"/>
        <v>7.3687845303867388</v>
      </c>
      <c r="O7" s="6">
        <f>I24</f>
        <v>8.3895027624309382</v>
      </c>
      <c r="P7" s="6">
        <f t="shared" si="4"/>
        <v>18.066298342541433</v>
      </c>
      <c r="Q7" s="6">
        <f t="shared" si="5"/>
        <v>32.502762430939221</v>
      </c>
      <c r="R7" s="6">
        <f t="shared" si="6"/>
        <v>55.093922651933696</v>
      </c>
      <c r="S7" s="6">
        <f t="shared" si="7"/>
        <v>58.383008356545957</v>
      </c>
      <c r="T7" s="6">
        <f t="shared" si="1"/>
        <v>51.014223826159217</v>
      </c>
      <c r="Z7" t="str">
        <f t="shared" si="8"/>
        <v>1c</v>
      </c>
      <c r="AA7" s="6">
        <f t="shared" si="9"/>
        <v>5.7697582872928157</v>
      </c>
      <c r="AB7" s="6">
        <f t="shared" si="2"/>
        <v>45.713895543175482</v>
      </c>
      <c r="AC7" s="6"/>
      <c r="AD7" s="6"/>
      <c r="AE7" s="6"/>
    </row>
    <row r="8" spans="1:31">
      <c r="A8" t="s">
        <v>126</v>
      </c>
      <c r="B8" t="s">
        <v>133</v>
      </c>
      <c r="C8" s="4">
        <v>10</v>
      </c>
      <c r="D8" s="4">
        <v>1</v>
      </c>
      <c r="E8" s="4">
        <v>500</v>
      </c>
      <c r="F8" s="4" t="s">
        <v>121</v>
      </c>
      <c r="G8" s="4">
        <v>72.400000000000006</v>
      </c>
      <c r="H8">
        <v>5092</v>
      </c>
      <c r="I8" s="5">
        <f t="shared" si="0"/>
        <v>7.0331491712707184</v>
      </c>
      <c r="J8" t="s">
        <v>133</v>
      </c>
      <c r="M8" t="s">
        <v>6</v>
      </c>
      <c r="N8" s="6">
        <f t="shared" si="3"/>
        <v>8.2071823204419871</v>
      </c>
      <c r="O8" s="6">
        <f>I25</f>
        <v>8.8853591160220979</v>
      </c>
      <c r="P8" s="6">
        <f t="shared" si="4"/>
        <v>12.469613259668506</v>
      </c>
      <c r="Q8" s="6">
        <f t="shared" si="5"/>
        <v>20.157458563535911</v>
      </c>
      <c r="R8" s="6">
        <f t="shared" si="6"/>
        <v>30.150552486187845</v>
      </c>
      <c r="S8" s="6">
        <f t="shared" si="7"/>
        <v>26.185236768802227</v>
      </c>
      <c r="T8" s="6">
        <f t="shared" si="1"/>
        <v>17.97805444836024</v>
      </c>
      <c r="Z8" t="str">
        <f t="shared" si="8"/>
        <v>2a</v>
      </c>
      <c r="AA8" s="6">
        <f t="shared" si="9"/>
        <v>6.4262237569060758</v>
      </c>
      <c r="AB8" s="6">
        <f t="shared" si="2"/>
        <v>20.503040389972146</v>
      </c>
      <c r="AC8" s="6"/>
      <c r="AD8" s="6"/>
      <c r="AE8" s="6"/>
    </row>
    <row r="9" spans="1:31">
      <c r="A9" t="s">
        <v>127</v>
      </c>
      <c r="B9" t="s">
        <v>134</v>
      </c>
      <c r="C9" s="4">
        <v>10</v>
      </c>
      <c r="D9" s="4">
        <v>1</v>
      </c>
      <c r="E9" s="4">
        <v>500</v>
      </c>
      <c r="F9" s="4" t="s">
        <v>121</v>
      </c>
      <c r="G9" s="4">
        <v>72.400000000000006</v>
      </c>
      <c r="H9">
        <v>0</v>
      </c>
      <c r="I9" s="5">
        <f t="shared" si="0"/>
        <v>0</v>
      </c>
      <c r="J9" t="s">
        <v>134</v>
      </c>
      <c r="M9" t="s">
        <v>10</v>
      </c>
      <c r="N9" s="6">
        <f t="shared" si="3"/>
        <v>7.6947513812154691</v>
      </c>
      <c r="O9" s="6">
        <f>I6</f>
        <v>8.4806629834254146</v>
      </c>
      <c r="Q9" s="6">
        <f t="shared" si="5"/>
        <v>26.548342541436458</v>
      </c>
      <c r="R9" s="6">
        <f t="shared" si="6"/>
        <v>34.247237569060772</v>
      </c>
      <c r="S9" s="6">
        <f t="shared" si="7"/>
        <v>28.389972144846794</v>
      </c>
      <c r="T9" s="6">
        <f t="shared" si="1"/>
        <v>20.695220763631326</v>
      </c>
      <c r="Z9" t="str">
        <f t="shared" si="8"/>
        <v>2b</v>
      </c>
      <c r="AA9" s="6">
        <f t="shared" si="9"/>
        <v>6.0249903314917113</v>
      </c>
      <c r="AB9" s="6">
        <f t="shared" si="2"/>
        <v>22.229348189415038</v>
      </c>
      <c r="AC9" s="6"/>
      <c r="AD9" s="6"/>
      <c r="AE9" s="6"/>
    </row>
    <row r="10" spans="1:31">
      <c r="A10" t="s">
        <v>128</v>
      </c>
      <c r="B10" t="s">
        <v>135</v>
      </c>
      <c r="C10" s="4">
        <v>10</v>
      </c>
      <c r="D10" s="4">
        <v>1</v>
      </c>
      <c r="E10" s="4">
        <v>500</v>
      </c>
      <c r="F10" s="4" t="s">
        <v>121</v>
      </c>
      <c r="G10" s="4">
        <v>72.400000000000006</v>
      </c>
      <c r="H10">
        <v>0</v>
      </c>
      <c r="I10" s="5">
        <f t="shared" si="0"/>
        <v>0</v>
      </c>
      <c r="J10" t="s">
        <v>135</v>
      </c>
      <c r="M10" t="s">
        <v>23</v>
      </c>
      <c r="N10" s="6">
        <f t="shared" si="3"/>
        <v>7.8674033149171274</v>
      </c>
      <c r="O10" s="6">
        <f>I26</f>
        <v>7.4972375690607729</v>
      </c>
      <c r="P10" s="6">
        <f>I35</f>
        <v>11.38259668508287</v>
      </c>
      <c r="Q10" s="6">
        <f t="shared" si="5"/>
        <v>17.502762430939224</v>
      </c>
      <c r="R10" s="6">
        <f t="shared" si="6"/>
        <v>30.21961325966851</v>
      </c>
      <c r="S10" s="6">
        <f t="shared" si="7"/>
        <v>33.345403899721447</v>
      </c>
      <c r="T10" s="6">
        <f t="shared" si="1"/>
        <v>25.47800058480432</v>
      </c>
      <c r="Z10" t="str">
        <f t="shared" si="8"/>
        <v>2c</v>
      </c>
      <c r="AA10" s="6">
        <f t="shared" si="9"/>
        <v>6.1601767955801101</v>
      </c>
      <c r="AB10" s="6">
        <f t="shared" si="2"/>
        <v>26.10945125348189</v>
      </c>
      <c r="AC10" s="6"/>
      <c r="AD10" s="6"/>
      <c r="AE10" s="6"/>
    </row>
    <row r="11" spans="1:31">
      <c r="A11" t="s">
        <v>136</v>
      </c>
      <c r="B11" t="s">
        <v>137</v>
      </c>
      <c r="C11" s="4">
        <v>10</v>
      </c>
      <c r="D11" s="4">
        <v>1</v>
      </c>
      <c r="E11" s="4">
        <v>500</v>
      </c>
      <c r="F11" s="4" t="s">
        <v>121</v>
      </c>
      <c r="G11" s="4">
        <v>72.400000000000006</v>
      </c>
      <c r="H11">
        <v>5647</v>
      </c>
      <c r="I11" s="5">
        <f t="shared" si="0"/>
        <v>7.7997237569060767</v>
      </c>
      <c r="J11" t="s">
        <v>137</v>
      </c>
      <c r="M11" t="s">
        <v>7</v>
      </c>
      <c r="N11" s="6">
        <f t="shared" si="3"/>
        <v>7.6740331491712706</v>
      </c>
      <c r="O11" s="6">
        <f>I27</f>
        <v>6.8190607734806612</v>
      </c>
      <c r="P11" s="6">
        <f>I36</f>
        <v>7.7955801104972373</v>
      </c>
      <c r="Q11" s="6">
        <f t="shared" si="5"/>
        <v>8.6395027624309382</v>
      </c>
      <c r="R11" s="6">
        <f t="shared" si="6"/>
        <v>13.959944751381213</v>
      </c>
      <c r="S11" s="6">
        <f t="shared" si="7"/>
        <v>18.863509749303621</v>
      </c>
      <c r="T11" s="6">
        <f t="shared" si="1"/>
        <v>11.18947660013235</v>
      </c>
      <c r="U11" t="s">
        <v>425</v>
      </c>
      <c r="V11" t="s">
        <v>421</v>
      </c>
      <c r="W11" t="s">
        <v>422</v>
      </c>
      <c r="X11" t="s">
        <v>423</v>
      </c>
      <c r="Z11" t="str">
        <f t="shared" si="8"/>
        <v>3a</v>
      </c>
      <c r="AA11" s="6">
        <f t="shared" si="9"/>
        <v>6.0087679558011038</v>
      </c>
      <c r="AB11" s="6">
        <f t="shared" si="2"/>
        <v>14.770128133704734</v>
      </c>
      <c r="AC11" s="6"/>
      <c r="AD11" s="6"/>
      <c r="AE11" s="6"/>
    </row>
    <row r="12" spans="1:31">
      <c r="A12" t="s">
        <v>138</v>
      </c>
      <c r="B12" t="s">
        <v>139</v>
      </c>
      <c r="C12" s="4">
        <v>10</v>
      </c>
      <c r="D12" s="4">
        <v>1</v>
      </c>
      <c r="E12" s="4">
        <v>500</v>
      </c>
      <c r="F12" s="4" t="s">
        <v>121</v>
      </c>
      <c r="G12" s="4">
        <v>72.400000000000006</v>
      </c>
      <c r="H12">
        <v>5588</v>
      </c>
      <c r="I12" s="5">
        <f t="shared" si="0"/>
        <v>7.7182320441988939</v>
      </c>
      <c r="J12" t="s">
        <v>139</v>
      </c>
      <c r="M12" t="s">
        <v>9</v>
      </c>
      <c r="N12" s="6">
        <f t="shared" si="3"/>
        <v>7.5676795580110499</v>
      </c>
      <c r="O12" s="6">
        <f>I7</f>
        <v>7.1422651933701653</v>
      </c>
      <c r="P12" s="6">
        <f>I37</f>
        <v>7.7610497237569058</v>
      </c>
      <c r="Q12" s="6">
        <f t="shared" si="5"/>
        <v>11.476519337016574</v>
      </c>
      <c r="R12" s="6">
        <f t="shared" si="6"/>
        <v>18.05939226519337</v>
      </c>
      <c r="S12" s="6">
        <f t="shared" si="7"/>
        <v>21.871866295264624</v>
      </c>
      <c r="T12" s="6">
        <f t="shared" si="1"/>
        <v>14.304186737253573</v>
      </c>
      <c r="U12" s="6" t="str">
        <f>U19</f>
        <v>Syn+Bac+lysate</v>
      </c>
      <c r="V12" s="6">
        <f>N5</f>
        <v>7.7997237569060767</v>
      </c>
      <c r="W12" s="6">
        <f>N6</f>
        <v>7.7182320441988939</v>
      </c>
      <c r="X12" s="6">
        <f>N7</f>
        <v>7.3687845303867388</v>
      </c>
      <c r="Z12" t="str">
        <f t="shared" si="8"/>
        <v>3b</v>
      </c>
      <c r="AA12" s="6">
        <f t="shared" si="9"/>
        <v>5.9254930939226522</v>
      </c>
      <c r="AB12" s="6">
        <f t="shared" si="2"/>
        <v>17.125671309192203</v>
      </c>
      <c r="AC12" s="6"/>
      <c r="AD12" s="6"/>
      <c r="AE12" s="6"/>
    </row>
    <row r="13" spans="1:31">
      <c r="A13" t="s">
        <v>140</v>
      </c>
      <c r="B13" t="s">
        <v>141</v>
      </c>
      <c r="C13" s="4">
        <v>10</v>
      </c>
      <c r="D13" s="4">
        <v>1</v>
      </c>
      <c r="E13" s="4">
        <v>500</v>
      </c>
      <c r="F13" s="4" t="s">
        <v>121</v>
      </c>
      <c r="G13" s="4">
        <v>72.400000000000006</v>
      </c>
      <c r="H13">
        <v>5335</v>
      </c>
      <c r="I13" s="5">
        <f t="shared" si="0"/>
        <v>7.3687845303867388</v>
      </c>
      <c r="J13" t="s">
        <v>141</v>
      </c>
      <c r="M13" t="s">
        <v>24</v>
      </c>
      <c r="N13" s="6">
        <f t="shared" si="3"/>
        <v>7.7403314917127064</v>
      </c>
      <c r="O13" s="6">
        <f>I28</f>
        <v>6.9930939226519326</v>
      </c>
      <c r="Q13" s="6">
        <f t="shared" si="5"/>
        <v>10.531767955801103</v>
      </c>
      <c r="R13" s="6">
        <f t="shared" si="6"/>
        <v>16.187845303867402</v>
      </c>
      <c r="S13" s="6">
        <f t="shared" si="7"/>
        <v>19.686629526462394</v>
      </c>
      <c r="T13" s="6">
        <f t="shared" si="1"/>
        <v>11.946298034749688</v>
      </c>
      <c r="U13" s="6" t="str">
        <f t="shared" ref="U13:U15" si="10">U20</f>
        <v>Syn+Bac</v>
      </c>
      <c r="V13" s="6">
        <f>N8</f>
        <v>8.2071823204419871</v>
      </c>
      <c r="W13" s="6">
        <f>N9</f>
        <v>7.6947513812154691</v>
      </c>
      <c r="X13" s="6">
        <f>N10</f>
        <v>7.8674033149171274</v>
      </c>
      <c r="Z13" t="str">
        <f t="shared" si="8"/>
        <v>3c</v>
      </c>
      <c r="AA13" s="6">
        <f t="shared" si="9"/>
        <v>6.0606795580110484</v>
      </c>
      <c r="AB13" s="6">
        <f t="shared" si="2"/>
        <v>15.414630919220055</v>
      </c>
      <c r="AC13" s="6"/>
      <c r="AD13" s="6"/>
      <c r="AE13" s="6"/>
    </row>
    <row r="14" spans="1:31">
      <c r="A14" t="s">
        <v>142</v>
      </c>
      <c r="B14" t="s">
        <v>143</v>
      </c>
      <c r="C14" s="4">
        <v>10</v>
      </c>
      <c r="D14" s="4">
        <v>1</v>
      </c>
      <c r="E14" s="4">
        <v>500</v>
      </c>
      <c r="F14" s="4" t="s">
        <v>121</v>
      </c>
      <c r="G14" s="4">
        <v>72.400000000000006</v>
      </c>
      <c r="H14">
        <v>5942</v>
      </c>
      <c r="I14" s="5">
        <f t="shared" si="0"/>
        <v>8.2071823204419871</v>
      </c>
      <c r="J14" t="s">
        <v>143</v>
      </c>
      <c r="M14" t="s">
        <v>4</v>
      </c>
      <c r="N14" s="6">
        <f t="shared" si="3"/>
        <v>7.874309392265193</v>
      </c>
      <c r="O14" s="6">
        <f>I29</f>
        <v>7.6353591160220979</v>
      </c>
      <c r="P14" s="6">
        <f>I38</f>
        <v>6.8798342541436455</v>
      </c>
      <c r="Q14" s="6">
        <f t="shared" si="5"/>
        <v>6.6643646408839778</v>
      </c>
      <c r="R14" s="6">
        <f t="shared" si="6"/>
        <v>6.3397790055248615</v>
      </c>
      <c r="S14" s="6">
        <f t="shared" si="7"/>
        <v>7.5598885793871853</v>
      </c>
      <c r="T14" s="6">
        <f t="shared" si="1"/>
        <v>-0.31442081287800772</v>
      </c>
      <c r="U14" s="6" t="str">
        <f t="shared" si="10"/>
        <v>Syn+lysate</v>
      </c>
      <c r="V14" s="6">
        <f>N11</f>
        <v>7.6740331491712706</v>
      </c>
      <c r="W14" s="6">
        <f>N12</f>
        <v>7.5676795580110499</v>
      </c>
      <c r="X14" s="6">
        <f>N13</f>
        <v>7.7403314917127064</v>
      </c>
      <c r="Z14" t="str">
        <f t="shared" si="8"/>
        <v>4a</v>
      </c>
      <c r="AA14" s="6">
        <f t="shared" si="9"/>
        <v>6.1655842541436465</v>
      </c>
      <c r="AB14" s="6">
        <f t="shared" si="2"/>
        <v>5.9193927576601659</v>
      </c>
      <c r="AC14" s="6"/>
      <c r="AD14" s="6"/>
      <c r="AE14" s="6"/>
    </row>
    <row r="15" spans="1:31">
      <c r="A15" t="s">
        <v>144</v>
      </c>
      <c r="B15" t="s">
        <v>145</v>
      </c>
      <c r="C15" s="4">
        <v>10</v>
      </c>
      <c r="D15" s="4">
        <v>1</v>
      </c>
      <c r="E15" s="4">
        <v>500</v>
      </c>
      <c r="F15" s="4" t="s">
        <v>121</v>
      </c>
      <c r="G15" s="4">
        <v>72.400000000000006</v>
      </c>
      <c r="H15">
        <v>5571</v>
      </c>
      <c r="I15" s="5">
        <f t="shared" si="0"/>
        <v>7.6947513812154691</v>
      </c>
      <c r="J15" t="s">
        <v>145</v>
      </c>
      <c r="M15" t="s">
        <v>5</v>
      </c>
      <c r="N15" s="6">
        <f t="shared" si="3"/>
        <v>7.5290055248618781</v>
      </c>
      <c r="O15" s="6">
        <f>I8</f>
        <v>7.0331491712707184</v>
      </c>
      <c r="P15" s="6">
        <f>I39</f>
        <v>5.943370165745856</v>
      </c>
      <c r="Q15" s="6">
        <f t="shared" si="5"/>
        <v>5.3259668508287286</v>
      </c>
      <c r="R15" s="6">
        <f t="shared" si="6"/>
        <v>5.624309392265193</v>
      </c>
      <c r="S15" s="6">
        <f t="shared" si="7"/>
        <v>6.103064066852367</v>
      </c>
      <c r="T15" s="6">
        <f t="shared" si="1"/>
        <v>-1.4259414580095111</v>
      </c>
      <c r="U15" s="6" t="str">
        <f t="shared" si="10"/>
        <v>Syn</v>
      </c>
      <c r="V15" s="6">
        <f>N14</f>
        <v>7.874309392265193</v>
      </c>
      <c r="W15" s="6">
        <f>N15</f>
        <v>7.5290055248618781</v>
      </c>
      <c r="X15" s="6">
        <f>N16</f>
        <v>7.5441988950276233</v>
      </c>
      <c r="Z15" t="str">
        <f t="shared" si="8"/>
        <v>4b</v>
      </c>
      <c r="AA15" s="6">
        <f t="shared" si="9"/>
        <v>5.8952113259668506</v>
      </c>
      <c r="AB15" s="6">
        <f t="shared" si="2"/>
        <v>4.7786991643454035</v>
      </c>
      <c r="AC15" s="6"/>
      <c r="AD15" s="6"/>
      <c r="AE15" s="6"/>
    </row>
    <row r="16" spans="1:31">
      <c r="A16" t="s">
        <v>146</v>
      </c>
      <c r="B16" t="s">
        <v>147</v>
      </c>
      <c r="C16" s="4">
        <v>10</v>
      </c>
      <c r="D16" s="4">
        <v>1</v>
      </c>
      <c r="E16" s="4">
        <v>500</v>
      </c>
      <c r="F16" s="4" t="s">
        <v>121</v>
      </c>
      <c r="G16" s="4">
        <v>72.400000000000006</v>
      </c>
      <c r="H16">
        <v>5696</v>
      </c>
      <c r="I16" s="5">
        <f t="shared" si="0"/>
        <v>7.8674033149171274</v>
      </c>
      <c r="J16" t="s">
        <v>147</v>
      </c>
      <c r="M16" t="s">
        <v>22</v>
      </c>
      <c r="N16" s="6">
        <f t="shared" si="3"/>
        <v>7.5441988950276233</v>
      </c>
      <c r="O16" s="6">
        <f>I30</f>
        <v>7.2237569060773472</v>
      </c>
      <c r="P16" s="6">
        <f>I40</f>
        <v>6.8853591160220979</v>
      </c>
      <c r="Q16" s="6">
        <f t="shared" si="5"/>
        <v>7.0303867403314912</v>
      </c>
      <c r="R16" s="6">
        <f t="shared" si="6"/>
        <v>6.5676795580110499</v>
      </c>
      <c r="S16" s="6">
        <f t="shared" si="7"/>
        <v>7.1253481894150426</v>
      </c>
      <c r="T16" s="6">
        <f t="shared" si="1"/>
        <v>-0.41885070561258075</v>
      </c>
      <c r="Z16" t="str">
        <f t="shared" si="8"/>
        <v>4c</v>
      </c>
      <c r="AA16" s="6">
        <f>N16*100000000*0.00000000000000783*1000000</f>
        <v>5.9071077348066288</v>
      </c>
      <c r="AB16" s="6">
        <f t="shared" si="2"/>
        <v>5.5791476323119777</v>
      </c>
      <c r="AC16" s="6"/>
      <c r="AD16" s="6"/>
      <c r="AE16" s="6"/>
    </row>
    <row r="17" spans="1:33">
      <c r="A17" t="s">
        <v>148</v>
      </c>
      <c r="B17" t="s">
        <v>149</v>
      </c>
      <c r="C17" s="4">
        <v>10</v>
      </c>
      <c r="D17" s="4">
        <v>1</v>
      </c>
      <c r="E17" s="4">
        <v>500</v>
      </c>
      <c r="F17" s="4" t="s">
        <v>121</v>
      </c>
      <c r="G17" s="4">
        <v>72.400000000000006</v>
      </c>
      <c r="H17">
        <v>5556</v>
      </c>
      <c r="I17" s="5">
        <f t="shared" si="0"/>
        <v>7.6740331491712706</v>
      </c>
      <c r="J17" t="s">
        <v>149</v>
      </c>
      <c r="T17" s="6"/>
      <c r="Z17" t="s">
        <v>467</v>
      </c>
    </row>
    <row r="18" spans="1:33">
      <c r="A18" t="s">
        <v>150</v>
      </c>
      <c r="B18" t="s">
        <v>151</v>
      </c>
      <c r="C18" s="4">
        <v>10</v>
      </c>
      <c r="D18" s="4">
        <v>1</v>
      </c>
      <c r="E18" s="4">
        <v>500</v>
      </c>
      <c r="F18" s="4" t="s">
        <v>121</v>
      </c>
      <c r="G18" s="4">
        <v>72.400000000000006</v>
      </c>
      <c r="H18">
        <v>5479</v>
      </c>
      <c r="I18" s="5">
        <f t="shared" si="0"/>
        <v>7.5676795580110499</v>
      </c>
      <c r="J18" t="s">
        <v>151</v>
      </c>
      <c r="N18">
        <v>0</v>
      </c>
      <c r="O18">
        <v>1</v>
      </c>
      <c r="P18">
        <v>2</v>
      </c>
      <c r="Q18">
        <v>3</v>
      </c>
      <c r="R18">
        <v>4</v>
      </c>
      <c r="S18">
        <v>5</v>
      </c>
      <c r="T18" s="6" t="s">
        <v>270</v>
      </c>
      <c r="U18" t="s">
        <v>420</v>
      </c>
      <c r="V18" t="s">
        <v>421</v>
      </c>
      <c r="W18" t="s">
        <v>422</v>
      </c>
      <c r="X18" t="s">
        <v>423</v>
      </c>
      <c r="AA18" t="s">
        <v>275</v>
      </c>
      <c r="AB18" t="s">
        <v>276</v>
      </c>
      <c r="AC18" t="s">
        <v>508</v>
      </c>
      <c r="AD18" t="s">
        <v>509</v>
      </c>
    </row>
    <row r="19" spans="1:33">
      <c r="A19" t="s">
        <v>152</v>
      </c>
      <c r="B19" t="s">
        <v>153</v>
      </c>
      <c r="C19" s="4">
        <v>10</v>
      </c>
      <c r="D19" s="4">
        <v>1</v>
      </c>
      <c r="E19" s="4">
        <v>500</v>
      </c>
      <c r="F19" s="4" t="s">
        <v>121</v>
      </c>
      <c r="G19" s="4">
        <v>72.400000000000006</v>
      </c>
      <c r="H19">
        <v>5604</v>
      </c>
      <c r="I19" s="5">
        <f t="shared" si="0"/>
        <v>7.7403314917127064</v>
      </c>
      <c r="J19" t="s">
        <v>153</v>
      </c>
      <c r="M19" t="s">
        <v>517</v>
      </c>
      <c r="N19" s="6">
        <f>AVERAGE(N5:N7)</f>
        <v>7.6289134438305695</v>
      </c>
      <c r="O19" s="6">
        <f t="shared" ref="O19:R19" si="11">AVERAGE(O5:O7)</f>
        <v>8.6321362799263337</v>
      </c>
      <c r="P19" s="6">
        <f t="shared" si="11"/>
        <v>15.806169429097602</v>
      </c>
      <c r="Q19" s="6">
        <f t="shared" si="11"/>
        <v>27.837937384898709</v>
      </c>
      <c r="R19" s="6">
        <f t="shared" si="11"/>
        <v>47.056629834254146</v>
      </c>
      <c r="S19" s="6">
        <f t="shared" ref="S19" si="12">AVERAGE(S5:S7)</f>
        <v>53.233519034354686</v>
      </c>
      <c r="T19" s="6">
        <f>S19-N19</f>
        <v>45.604605590524116</v>
      </c>
      <c r="U19" s="6" t="str">
        <f>M19</f>
        <v>Syn+Bac+lysate</v>
      </c>
      <c r="V19" s="6">
        <f>S5</f>
        <v>51.164345403899716</v>
      </c>
      <c r="W19" s="6">
        <f>S6</f>
        <v>50.153203342618383</v>
      </c>
      <c r="X19" s="6">
        <f>S7</f>
        <v>58.383008356545957</v>
      </c>
      <c r="Z19" t="str">
        <f>M19</f>
        <v>Syn+Bac+lysate</v>
      </c>
      <c r="AA19">
        <f>N19*100000000*0.00000000000000783*1000000</f>
        <v>5.9734392265193366</v>
      </c>
      <c r="AB19">
        <f>S19*100000000*0.00000000000000783*1000000</f>
        <v>41.681845403899722</v>
      </c>
      <c r="AC19">
        <f>STDEV(AA5:AA7)</f>
        <v>0.17925487251865296</v>
      </c>
      <c r="AD19">
        <f>STDEV(AB5:AB7)</f>
        <v>3.5142251009140537</v>
      </c>
    </row>
    <row r="20" spans="1:33">
      <c r="A20" t="s">
        <v>154</v>
      </c>
      <c r="B20" t="s">
        <v>155</v>
      </c>
      <c r="C20" s="4">
        <v>10</v>
      </c>
      <c r="D20" s="4">
        <v>1</v>
      </c>
      <c r="E20" s="4">
        <v>500</v>
      </c>
      <c r="F20" s="4" t="s">
        <v>121</v>
      </c>
      <c r="G20" s="4">
        <v>72.400000000000006</v>
      </c>
      <c r="H20">
        <v>5701</v>
      </c>
      <c r="I20" s="5">
        <f t="shared" si="0"/>
        <v>7.874309392265193</v>
      </c>
      <c r="J20" t="s">
        <v>155</v>
      </c>
      <c r="M20" t="s">
        <v>521</v>
      </c>
      <c r="N20" s="6">
        <f>AVERAGE(N8:N10)</f>
        <v>7.9231123388581937</v>
      </c>
      <c r="O20" s="6">
        <f t="shared" ref="O20:R20" si="13">AVERAGE(O8:O10)</f>
        <v>8.2877532228360948</v>
      </c>
      <c r="P20" s="6">
        <f t="shared" si="13"/>
        <v>11.926104972375688</v>
      </c>
      <c r="Q20" s="6">
        <f t="shared" si="13"/>
        <v>21.402854511970531</v>
      </c>
      <c r="R20" s="6">
        <f t="shared" si="13"/>
        <v>31.539134438305709</v>
      </c>
      <c r="S20" s="6">
        <f t="shared" ref="S20" si="14">AVERAGE(S8:S10)</f>
        <v>29.306870937790155</v>
      </c>
      <c r="T20" s="6">
        <f t="shared" ref="T20:T22" si="15">S20-N20</f>
        <v>21.383758598931962</v>
      </c>
      <c r="U20" s="6" t="str">
        <f>M20</f>
        <v>Syn+Bac</v>
      </c>
      <c r="V20" s="6">
        <f>S8</f>
        <v>26.185236768802227</v>
      </c>
      <c r="W20" s="6">
        <f>S9</f>
        <v>28.389972144846794</v>
      </c>
      <c r="X20" s="6">
        <f>S10</f>
        <v>33.345403899721447</v>
      </c>
      <c r="Z20" t="str">
        <f t="shared" ref="Z20:Z22" si="16">M20</f>
        <v>Syn+Bac</v>
      </c>
      <c r="AA20">
        <f t="shared" ref="AA20:AA22" si="17">N20*100000000*0.00000000000000783*1000000</f>
        <v>6.2037969613259651</v>
      </c>
      <c r="AB20">
        <f t="shared" ref="AB20:AB22" si="18">S20*100000000*0.00000000000000783*1000000</f>
        <v>22.947279944289694</v>
      </c>
      <c r="AC20">
        <f>STDEV(AA8:AA10)</f>
        <v>0.20414236346777229</v>
      </c>
      <c r="AD20">
        <f>STDEV(AB8:AB10)</f>
        <v>2.8713289947536742</v>
      </c>
    </row>
    <row r="21" spans="1:33">
      <c r="A21" t="s">
        <v>156</v>
      </c>
      <c r="B21" t="s">
        <v>157</v>
      </c>
      <c r="C21" s="4">
        <v>10</v>
      </c>
      <c r="D21" s="4">
        <v>1</v>
      </c>
      <c r="E21" s="4">
        <v>500</v>
      </c>
      <c r="F21" s="4" t="s">
        <v>121</v>
      </c>
      <c r="G21" s="4">
        <v>72.400000000000006</v>
      </c>
      <c r="H21">
        <v>5451</v>
      </c>
      <c r="I21" s="5">
        <f t="shared" si="0"/>
        <v>7.5290055248618781</v>
      </c>
      <c r="J21" t="s">
        <v>157</v>
      </c>
      <c r="M21" t="s">
        <v>518</v>
      </c>
      <c r="N21" s="6">
        <f>AVERAGE(N11:N13)</f>
        <v>7.6606813996316747</v>
      </c>
      <c r="O21" s="6">
        <f t="shared" ref="O21:R21" si="19">AVERAGE(O11:O13)</f>
        <v>6.984806629834253</v>
      </c>
      <c r="P21" s="6">
        <f t="shared" si="19"/>
        <v>7.7783149171270711</v>
      </c>
      <c r="Q21" s="6">
        <f t="shared" si="19"/>
        <v>10.215930018416204</v>
      </c>
      <c r="R21" s="6">
        <f t="shared" si="19"/>
        <v>16.069060773480661</v>
      </c>
      <c r="S21" s="6">
        <f t="shared" ref="S21" si="20">AVERAGE(S11:S13)</f>
        <v>20.140668523676879</v>
      </c>
      <c r="T21" s="6">
        <f t="shared" si="15"/>
        <v>12.479987124045206</v>
      </c>
      <c r="U21" s="6" t="str">
        <f>M21</f>
        <v>Syn+lysate</v>
      </c>
      <c r="V21" s="6">
        <f>S11</f>
        <v>18.863509749303621</v>
      </c>
      <c r="W21" s="6">
        <f>S12</f>
        <v>21.871866295264624</v>
      </c>
      <c r="X21" s="6">
        <f>S13</f>
        <v>19.686629526462394</v>
      </c>
      <c r="Z21" t="str">
        <f t="shared" si="16"/>
        <v>Syn+lysate</v>
      </c>
      <c r="AA21">
        <f t="shared" si="17"/>
        <v>5.9983135359116009</v>
      </c>
      <c r="AB21">
        <f t="shared" si="18"/>
        <v>15.770143454038996</v>
      </c>
      <c r="AC21">
        <f>STDEV(AA11:AA13)</f>
        <v>6.8196892814851348E-2</v>
      </c>
      <c r="AD21">
        <f>STDEV(AB11:AB13)</f>
        <v>1.2173486701460841</v>
      </c>
    </row>
    <row r="22" spans="1:33">
      <c r="A22" t="s">
        <v>158</v>
      </c>
      <c r="B22" t="s">
        <v>159</v>
      </c>
      <c r="C22" s="4">
        <v>10</v>
      </c>
      <c r="D22" s="4">
        <v>1</v>
      </c>
      <c r="E22" s="4">
        <v>500</v>
      </c>
      <c r="F22" s="4" t="s">
        <v>121</v>
      </c>
      <c r="G22" s="4">
        <v>72.400000000000006</v>
      </c>
      <c r="H22">
        <v>5462</v>
      </c>
      <c r="I22" s="5">
        <f t="shared" si="0"/>
        <v>7.5441988950276233</v>
      </c>
      <c r="J22" t="s">
        <v>159</v>
      </c>
      <c r="M22" t="s">
        <v>519</v>
      </c>
      <c r="N22" s="6">
        <f>AVERAGE(N14:N16)</f>
        <v>7.6491712707182318</v>
      </c>
      <c r="O22" s="6">
        <f t="shared" ref="O22:R22" si="21">AVERAGE(O14:O16)</f>
        <v>7.2974217311233884</v>
      </c>
      <c r="P22" s="6">
        <f t="shared" si="21"/>
        <v>6.5695211786372001</v>
      </c>
      <c r="Q22" s="6">
        <f t="shared" si="21"/>
        <v>6.3402394106813986</v>
      </c>
      <c r="R22" s="6">
        <f t="shared" si="21"/>
        <v>6.1772559852670348</v>
      </c>
      <c r="S22" s="6">
        <f t="shared" ref="S22" si="22">AVERAGE(S14:S16)</f>
        <v>6.929433611884865</v>
      </c>
      <c r="T22" s="6">
        <f t="shared" si="15"/>
        <v>-0.71973765883336682</v>
      </c>
      <c r="U22" s="6" t="str">
        <f>M22</f>
        <v>Syn</v>
      </c>
      <c r="V22" s="6">
        <f>S14</f>
        <v>7.5598885793871853</v>
      </c>
      <c r="W22" s="6">
        <f>S15</f>
        <v>6.103064066852367</v>
      </c>
      <c r="X22" s="6">
        <f>S16</f>
        <v>7.1253481894150426</v>
      </c>
      <c r="Z22" t="str">
        <f t="shared" si="16"/>
        <v>Syn</v>
      </c>
      <c r="AA22">
        <f t="shared" si="17"/>
        <v>5.9893011049723741</v>
      </c>
      <c r="AB22">
        <f t="shared" si="18"/>
        <v>5.4257465181058482</v>
      </c>
      <c r="AC22">
        <f>STDEV(AA14:AA16)</f>
        <v>0.15278151932457762</v>
      </c>
      <c r="AD22">
        <f>STDEV(AB14:AB16)</f>
        <v>0.58561454459148932</v>
      </c>
    </row>
    <row r="23" spans="1:33">
      <c r="A23" t="s">
        <v>160</v>
      </c>
      <c r="B23" t="s">
        <v>161</v>
      </c>
      <c r="C23" s="4">
        <v>10</v>
      </c>
      <c r="D23" s="4">
        <v>1</v>
      </c>
      <c r="E23" s="4">
        <v>500</v>
      </c>
      <c r="F23" s="4" t="s">
        <v>121</v>
      </c>
      <c r="G23" s="4">
        <v>72.400000000000006</v>
      </c>
      <c r="H23">
        <v>6725</v>
      </c>
      <c r="I23" s="5">
        <f t="shared" si="0"/>
        <v>9.2886740331491708</v>
      </c>
      <c r="J23" t="s">
        <v>161</v>
      </c>
      <c r="N23" s="6">
        <f>AVERAGE(N19:N22)</f>
        <v>7.7154696132596667</v>
      </c>
      <c r="T23" s="6"/>
    </row>
    <row r="24" spans="1:33">
      <c r="A24" t="s">
        <v>162</v>
      </c>
      <c r="B24" t="s">
        <v>163</v>
      </c>
      <c r="C24" s="4">
        <v>10</v>
      </c>
      <c r="D24" s="4">
        <v>1</v>
      </c>
      <c r="E24" s="4">
        <v>500</v>
      </c>
      <c r="F24" s="4" t="s">
        <v>121</v>
      </c>
      <c r="G24" s="4">
        <v>72.400000000000006</v>
      </c>
      <c r="H24">
        <v>6074</v>
      </c>
      <c r="I24" s="5">
        <f t="shared" si="0"/>
        <v>8.3895027624309382</v>
      </c>
      <c r="J24" t="s">
        <v>163</v>
      </c>
    </row>
    <row r="25" spans="1:33">
      <c r="A25" t="s">
        <v>164</v>
      </c>
      <c r="B25" t="s">
        <v>165</v>
      </c>
      <c r="C25" s="4">
        <v>10</v>
      </c>
      <c r="D25" s="4">
        <v>1</v>
      </c>
      <c r="E25" s="4">
        <v>500</v>
      </c>
      <c r="F25" s="4" t="s">
        <v>121</v>
      </c>
      <c r="G25" s="4">
        <v>72.400000000000006</v>
      </c>
      <c r="H25">
        <v>6433</v>
      </c>
      <c r="I25" s="5">
        <f t="shared" si="0"/>
        <v>8.8853591160220979</v>
      </c>
      <c r="J25" t="s">
        <v>165</v>
      </c>
      <c r="M25" t="s">
        <v>91</v>
      </c>
      <c r="N25">
        <f>STDEV(N5:N7)/(SQRT(3))</f>
        <v>0.13217477509859007</v>
      </c>
      <c r="O25">
        <f t="shared" ref="O25:S25" si="23">STDEV(O5:O7)/(SQRT(3))</f>
        <v>0.33197127425230527</v>
      </c>
      <c r="P25">
        <f t="shared" si="23"/>
        <v>1.5108368309945133</v>
      </c>
      <c r="Q25">
        <f t="shared" si="23"/>
        <v>3.5092776887357995</v>
      </c>
      <c r="R25">
        <f t="shared" si="23"/>
        <v>5.4580655370202447</v>
      </c>
      <c r="S25">
        <f t="shared" si="23"/>
        <v>2.5912373026892328</v>
      </c>
      <c r="T25" s="22">
        <f>S20+S21</f>
        <v>49.447539461467031</v>
      </c>
      <c r="U25" t="s">
        <v>419</v>
      </c>
      <c r="AC25" t="s">
        <v>424</v>
      </c>
    </row>
    <row r="26" spans="1:33">
      <c r="A26" t="s">
        <v>166</v>
      </c>
      <c r="B26" t="s">
        <v>167</v>
      </c>
      <c r="C26" s="4">
        <v>10</v>
      </c>
      <c r="D26" s="4">
        <v>1</v>
      </c>
      <c r="E26" s="4">
        <v>500</v>
      </c>
      <c r="F26" s="4" t="s">
        <v>121</v>
      </c>
      <c r="G26" s="4">
        <v>72.400000000000006</v>
      </c>
      <c r="H26">
        <v>5428</v>
      </c>
      <c r="I26" s="5">
        <f t="shared" si="0"/>
        <v>7.4972375690607729</v>
      </c>
      <c r="J26" t="s">
        <v>167</v>
      </c>
      <c r="M26" t="s">
        <v>90</v>
      </c>
      <c r="N26">
        <f>STDEV(N8:N10)/(SQRT(3))</f>
        <v>0.150525732440772</v>
      </c>
      <c r="O26">
        <f t="shared" ref="O26:S26" si="24">STDEV(O8:O10)/(SQRT(3))</f>
        <v>0.41216137174758266</v>
      </c>
      <c r="P26">
        <f t="shared" si="24"/>
        <v>0.44377265828047024</v>
      </c>
      <c r="Q26">
        <f t="shared" si="24"/>
        <v>2.6844545184660737</v>
      </c>
      <c r="R26">
        <f t="shared" si="24"/>
        <v>1.3541983203741452</v>
      </c>
      <c r="S26">
        <f t="shared" si="24"/>
        <v>2.1171935735032057</v>
      </c>
      <c r="T26" s="21">
        <f>SQRT((S26^2)+(S27^2))</f>
        <v>2.2996153097275553</v>
      </c>
    </row>
    <row r="27" spans="1:33" ht="15.75" thickBot="1">
      <c r="A27" t="s">
        <v>168</v>
      </c>
      <c r="B27" t="s">
        <v>169</v>
      </c>
      <c r="C27" s="4">
        <v>10</v>
      </c>
      <c r="D27" s="4">
        <v>1</v>
      </c>
      <c r="E27" s="4">
        <v>500</v>
      </c>
      <c r="F27" s="4" t="s">
        <v>121</v>
      </c>
      <c r="G27" s="4">
        <v>72.400000000000006</v>
      </c>
      <c r="H27">
        <v>4937</v>
      </c>
      <c r="I27" s="5">
        <f t="shared" si="0"/>
        <v>6.8190607734806612</v>
      </c>
      <c r="J27" t="s">
        <v>169</v>
      </c>
      <c r="M27" t="s">
        <v>92</v>
      </c>
      <c r="N27">
        <f>STDEV(N11:N13)/(SQRT(3))</f>
        <v>5.0285433492402012E-2</v>
      </c>
      <c r="O27">
        <f t="shared" ref="O27:S27" si="25">STDEV(O11:O13)/(SQRT(3))</f>
        <v>9.3393046985508502E-2</v>
      </c>
      <c r="P27">
        <f t="shared" si="25"/>
        <v>1.4096971355796375E-2</v>
      </c>
      <c r="Q27">
        <f t="shared" si="25"/>
        <v>0.83406254024844761</v>
      </c>
      <c r="R27">
        <f t="shared" si="25"/>
        <v>1.1848979988617117</v>
      </c>
      <c r="S27">
        <f t="shared" si="25"/>
        <v>0.89762015633010706</v>
      </c>
      <c r="T27" s="22">
        <f>T25+T26</f>
        <v>51.747154771194587</v>
      </c>
      <c r="U27" t="s">
        <v>404</v>
      </c>
      <c r="AC27" t="s">
        <v>404</v>
      </c>
    </row>
    <row r="28" spans="1:33">
      <c r="A28" t="s">
        <v>170</v>
      </c>
      <c r="B28" t="s">
        <v>171</v>
      </c>
      <c r="C28" s="4">
        <v>10</v>
      </c>
      <c r="D28" s="4">
        <v>1</v>
      </c>
      <c r="E28" s="4">
        <v>500</v>
      </c>
      <c r="F28" s="4" t="s">
        <v>121</v>
      </c>
      <c r="G28" s="4">
        <v>72.400000000000006</v>
      </c>
      <c r="H28">
        <v>5063</v>
      </c>
      <c r="I28" s="5">
        <f t="shared" si="0"/>
        <v>6.9930939226519326</v>
      </c>
      <c r="J28" t="s">
        <v>171</v>
      </c>
      <c r="M28" t="s">
        <v>93</v>
      </c>
      <c r="N28">
        <f>STDEV(N14:N16)/(SQRT(3))</f>
        <v>0.11265447165931639</v>
      </c>
      <c r="O28">
        <f t="shared" ref="O28:S28" si="26">STDEV(O14:O16)/(SQRT(3))</f>
        <v>0.17770207673346866</v>
      </c>
      <c r="P28">
        <f t="shared" si="26"/>
        <v>0.31307956881775589</v>
      </c>
      <c r="Q28">
        <f t="shared" si="26"/>
        <v>0.51802659634860582</v>
      </c>
      <c r="R28">
        <f t="shared" si="26"/>
        <v>0.28419307784798692</v>
      </c>
      <c r="S28">
        <f t="shared" si="26"/>
        <v>0.43180678794541077</v>
      </c>
      <c r="U28" s="17" t="s">
        <v>405</v>
      </c>
      <c r="V28" s="17" t="s">
        <v>406</v>
      </c>
      <c r="W28" s="17" t="s">
        <v>407</v>
      </c>
      <c r="X28" s="17" t="s">
        <v>0</v>
      </c>
      <c r="Y28" s="17" t="s">
        <v>408</v>
      </c>
      <c r="AC28" s="17" t="s">
        <v>405</v>
      </c>
      <c r="AD28" s="17" t="s">
        <v>406</v>
      </c>
      <c r="AE28" s="17" t="s">
        <v>407</v>
      </c>
      <c r="AF28" s="17" t="s">
        <v>0</v>
      </c>
      <c r="AG28" s="17" t="s">
        <v>408</v>
      </c>
    </row>
    <row r="29" spans="1:33">
      <c r="A29" t="s">
        <v>172</v>
      </c>
      <c r="B29" t="s">
        <v>173</v>
      </c>
      <c r="C29" s="4">
        <v>10</v>
      </c>
      <c r="D29" s="4">
        <v>1</v>
      </c>
      <c r="E29" s="4">
        <v>500</v>
      </c>
      <c r="F29" s="4" t="s">
        <v>121</v>
      </c>
      <c r="G29" s="4">
        <v>72.400000000000006</v>
      </c>
      <c r="H29">
        <v>5528</v>
      </c>
      <c r="I29" s="5">
        <f t="shared" si="0"/>
        <v>7.6353591160220979</v>
      </c>
      <c r="J29" t="s">
        <v>173</v>
      </c>
      <c r="U29" s="15" t="s">
        <v>91</v>
      </c>
      <c r="V29" s="15">
        <v>3</v>
      </c>
      <c r="W29" s="15">
        <v>159.70055710306406</v>
      </c>
      <c r="X29" s="15">
        <v>53.233519034354686</v>
      </c>
      <c r="Y29" s="15">
        <v>20.143532276544512</v>
      </c>
      <c r="AC29" s="15" t="s">
        <v>91</v>
      </c>
      <c r="AD29" s="15">
        <v>3</v>
      </c>
      <c r="AE29" s="15">
        <v>22.886740331491708</v>
      </c>
      <c r="AF29" s="15">
        <v>7.6289134438305695</v>
      </c>
      <c r="AG29" s="15">
        <v>5.24105135170886E-2</v>
      </c>
    </row>
    <row r="30" spans="1:33">
      <c r="A30" t="s">
        <v>174</v>
      </c>
      <c r="B30" t="s">
        <v>175</v>
      </c>
      <c r="C30" s="4">
        <v>10</v>
      </c>
      <c r="D30" s="4">
        <v>1</v>
      </c>
      <c r="E30" s="4">
        <v>500</v>
      </c>
      <c r="F30" s="4" t="s">
        <v>121</v>
      </c>
      <c r="G30" s="4">
        <v>72.400000000000006</v>
      </c>
      <c r="H30">
        <v>5230</v>
      </c>
      <c r="I30" s="5">
        <f t="shared" si="0"/>
        <v>7.2237569060773472</v>
      </c>
      <c r="J30" t="s">
        <v>175</v>
      </c>
      <c r="U30" s="15" t="s">
        <v>90</v>
      </c>
      <c r="V30" s="15">
        <v>3</v>
      </c>
      <c r="W30" s="15">
        <v>87.920612813370468</v>
      </c>
      <c r="X30" s="15">
        <v>29.306870937790155</v>
      </c>
      <c r="Y30" s="15">
        <v>13.447525883049821</v>
      </c>
      <c r="AC30" s="15" t="s">
        <v>90</v>
      </c>
      <c r="AD30" s="15">
        <v>3</v>
      </c>
      <c r="AE30" s="15">
        <v>23.769337016574582</v>
      </c>
      <c r="AF30" s="15">
        <v>7.9231123388581937</v>
      </c>
      <c r="AG30" s="15">
        <v>6.797398838049265E-2</v>
      </c>
    </row>
    <row r="31" spans="1:33">
      <c r="A31" t="s">
        <v>176</v>
      </c>
      <c r="B31" t="s">
        <v>177</v>
      </c>
      <c r="C31" s="4">
        <v>10</v>
      </c>
      <c r="D31" s="4">
        <v>1</v>
      </c>
      <c r="E31" s="4">
        <v>500</v>
      </c>
      <c r="F31" s="4" t="s">
        <v>121</v>
      </c>
      <c r="G31" s="4">
        <v>72.400000000000006</v>
      </c>
      <c r="H31">
        <v>11883</v>
      </c>
      <c r="I31" s="5">
        <f t="shared" si="0"/>
        <v>16.412983425414364</v>
      </c>
      <c r="J31" t="s">
        <v>177</v>
      </c>
      <c r="U31" s="15" t="s">
        <v>92</v>
      </c>
      <c r="V31" s="15">
        <v>3</v>
      </c>
      <c r="W31" s="15">
        <v>60.422005571030638</v>
      </c>
      <c r="X31" s="15">
        <v>20.140668523676879</v>
      </c>
      <c r="Y31" s="15">
        <v>2.4171658351502572</v>
      </c>
      <c r="AC31" s="15" t="s">
        <v>92</v>
      </c>
      <c r="AD31" s="15">
        <v>3</v>
      </c>
      <c r="AE31" s="15">
        <v>22.982044198895025</v>
      </c>
      <c r="AF31" s="15">
        <v>7.6606813996316747</v>
      </c>
      <c r="AG31" s="15">
        <v>7.5858744645563572E-3</v>
      </c>
    </row>
    <row r="32" spans="1:33" ht="15.75" thickBot="1">
      <c r="A32" t="s">
        <v>178</v>
      </c>
      <c r="B32" t="s">
        <v>179</v>
      </c>
      <c r="C32" s="4">
        <v>10</v>
      </c>
      <c r="D32" s="4">
        <v>1</v>
      </c>
      <c r="E32" s="4">
        <v>500</v>
      </c>
      <c r="F32" s="4" t="s">
        <v>121</v>
      </c>
      <c r="G32" s="4">
        <v>72.400000000000006</v>
      </c>
      <c r="H32">
        <v>9368</v>
      </c>
      <c r="I32" s="5">
        <f t="shared" si="0"/>
        <v>12.939226519337014</v>
      </c>
      <c r="J32" t="s">
        <v>179</v>
      </c>
      <c r="U32" s="16" t="s">
        <v>93</v>
      </c>
      <c r="V32" s="16">
        <v>3</v>
      </c>
      <c r="W32" s="16">
        <v>20.788300835654596</v>
      </c>
      <c r="X32" s="16">
        <v>6.929433611884865</v>
      </c>
      <c r="Y32" s="16">
        <v>0.55937130634719878</v>
      </c>
      <c r="AC32" s="16" t="s">
        <v>93</v>
      </c>
      <c r="AD32" s="16">
        <v>3</v>
      </c>
      <c r="AE32" s="16">
        <v>22.947513812154696</v>
      </c>
      <c r="AF32" s="16">
        <v>7.6491712707182318</v>
      </c>
      <c r="AG32" s="16">
        <v>3.8073089954519156E-2</v>
      </c>
    </row>
    <row r="33" spans="1:35">
      <c r="A33" t="s">
        <v>180</v>
      </c>
      <c r="B33" t="s">
        <v>181</v>
      </c>
      <c r="C33" s="4">
        <v>10</v>
      </c>
      <c r="D33" s="4">
        <v>1</v>
      </c>
      <c r="E33" s="4">
        <v>500</v>
      </c>
      <c r="F33" s="4" t="s">
        <v>121</v>
      </c>
      <c r="G33" s="4">
        <v>72.400000000000006</v>
      </c>
      <c r="H33">
        <v>13080</v>
      </c>
      <c r="I33" s="5">
        <f t="shared" si="0"/>
        <v>18.066298342541433</v>
      </c>
      <c r="J33" t="s">
        <v>181</v>
      </c>
    </row>
    <row r="34" spans="1:35">
      <c r="A34" t="s">
        <v>182</v>
      </c>
      <c r="B34" t="s">
        <v>183</v>
      </c>
      <c r="C34" s="4">
        <v>10</v>
      </c>
      <c r="D34" s="4">
        <v>1</v>
      </c>
      <c r="E34" s="4">
        <v>500</v>
      </c>
      <c r="F34" s="4" t="s">
        <v>121</v>
      </c>
      <c r="G34" s="4">
        <v>72.400000000000006</v>
      </c>
      <c r="H34">
        <v>9028</v>
      </c>
      <c r="I34" s="5">
        <f t="shared" si="0"/>
        <v>12.469613259668506</v>
      </c>
      <c r="J34" t="s">
        <v>183</v>
      </c>
    </row>
    <row r="35" spans="1:35" ht="15.75" thickBot="1">
      <c r="A35" t="s">
        <v>184</v>
      </c>
      <c r="B35" t="s">
        <v>185</v>
      </c>
      <c r="C35" s="4">
        <v>10</v>
      </c>
      <c r="D35" s="4">
        <v>1</v>
      </c>
      <c r="E35" s="4">
        <v>500</v>
      </c>
      <c r="F35" s="4" t="s">
        <v>121</v>
      </c>
      <c r="G35" s="4">
        <v>72.400000000000006</v>
      </c>
      <c r="H35">
        <v>8241</v>
      </c>
      <c r="I35" s="5">
        <f t="shared" si="0"/>
        <v>11.38259668508287</v>
      </c>
      <c r="J35" t="s">
        <v>185</v>
      </c>
      <c r="U35" t="s">
        <v>409</v>
      </c>
      <c r="AC35" t="s">
        <v>409</v>
      </c>
    </row>
    <row r="36" spans="1:35">
      <c r="A36" t="s">
        <v>186</v>
      </c>
      <c r="B36" t="s">
        <v>187</v>
      </c>
      <c r="C36" s="4">
        <v>10</v>
      </c>
      <c r="D36" s="4">
        <v>1</v>
      </c>
      <c r="E36" s="4">
        <v>500</v>
      </c>
      <c r="F36" s="4" t="s">
        <v>121</v>
      </c>
      <c r="G36" s="4">
        <v>72.400000000000006</v>
      </c>
      <c r="H36">
        <v>5644</v>
      </c>
      <c r="I36" s="5">
        <f t="shared" si="0"/>
        <v>7.7955801104972373</v>
      </c>
      <c r="J36" t="s">
        <v>187</v>
      </c>
      <c r="U36" s="17" t="s">
        <v>410</v>
      </c>
      <c r="V36" s="17" t="s">
        <v>411</v>
      </c>
      <c r="W36" s="17" t="s">
        <v>412</v>
      </c>
      <c r="X36" s="17" t="s">
        <v>413</v>
      </c>
      <c r="Y36" s="17" t="s">
        <v>372</v>
      </c>
      <c r="Z36" s="17" t="s">
        <v>414</v>
      </c>
      <c r="AA36" s="17" t="s">
        <v>415</v>
      </c>
      <c r="AC36" s="17" t="s">
        <v>410</v>
      </c>
      <c r="AD36" s="17" t="s">
        <v>411</v>
      </c>
      <c r="AE36" s="17" t="s">
        <v>412</v>
      </c>
      <c r="AF36" s="17" t="s">
        <v>413</v>
      </c>
      <c r="AG36" s="17" t="s">
        <v>372</v>
      </c>
      <c r="AH36" s="17" t="s">
        <v>414</v>
      </c>
      <c r="AI36" s="17" t="s">
        <v>415</v>
      </c>
    </row>
    <row r="37" spans="1:35">
      <c r="A37" t="s">
        <v>188</v>
      </c>
      <c r="B37" t="s">
        <v>189</v>
      </c>
      <c r="C37" s="4">
        <v>10</v>
      </c>
      <c r="D37" s="4">
        <v>1</v>
      </c>
      <c r="E37" s="4">
        <v>500</v>
      </c>
      <c r="F37" s="4" t="s">
        <v>121</v>
      </c>
      <c r="G37" s="4">
        <v>72.400000000000006</v>
      </c>
      <c r="H37">
        <v>5619</v>
      </c>
      <c r="I37" s="5">
        <f t="shared" si="0"/>
        <v>7.7610497237569058</v>
      </c>
      <c r="J37" t="s">
        <v>189</v>
      </c>
      <c r="U37" s="15" t="s">
        <v>416</v>
      </c>
      <c r="V37" s="15">
        <v>3428.2464500521146</v>
      </c>
      <c r="W37" s="15">
        <v>3</v>
      </c>
      <c r="X37" s="15">
        <v>1142.7488166840383</v>
      </c>
      <c r="Y37" s="15">
        <v>125.00125395447284</v>
      </c>
      <c r="Z37" s="15">
        <v>4.6450300576590038E-7</v>
      </c>
      <c r="AA37" s="15">
        <v>4.0661805513511613</v>
      </c>
      <c r="AC37" s="15" t="s">
        <v>416</v>
      </c>
      <c r="AD37" s="15">
        <v>0.17401407160953569</v>
      </c>
      <c r="AE37" s="15">
        <v>3</v>
      </c>
      <c r="AF37" s="15">
        <v>5.8004690536511895E-2</v>
      </c>
      <c r="AG37" s="15">
        <v>1.3973375001914934</v>
      </c>
      <c r="AH37" s="15">
        <v>0.31258741166255505</v>
      </c>
      <c r="AI37" s="15">
        <v>4.0661805513511613</v>
      </c>
    </row>
    <row r="38" spans="1:35">
      <c r="A38" t="s">
        <v>190</v>
      </c>
      <c r="B38" t="s">
        <v>191</v>
      </c>
      <c r="C38" s="4">
        <v>10</v>
      </c>
      <c r="D38" s="4">
        <v>1</v>
      </c>
      <c r="E38" s="4">
        <v>500</v>
      </c>
      <c r="F38" s="4" t="s">
        <v>121</v>
      </c>
      <c r="G38" s="4">
        <v>72.400000000000006</v>
      </c>
      <c r="H38">
        <v>4981</v>
      </c>
      <c r="I38" s="5">
        <f t="shared" si="0"/>
        <v>6.8798342541436455</v>
      </c>
      <c r="J38" t="s">
        <v>191</v>
      </c>
      <c r="U38" s="15" t="s">
        <v>417</v>
      </c>
      <c r="V38" s="15">
        <v>73.135190602183428</v>
      </c>
      <c r="W38" s="15">
        <v>8</v>
      </c>
      <c r="X38" s="15">
        <v>9.1418988252729285</v>
      </c>
      <c r="Y38" s="15"/>
      <c r="Z38" s="15"/>
      <c r="AA38" s="15"/>
      <c r="AC38" s="15" t="s">
        <v>417</v>
      </c>
      <c r="AD38" s="15">
        <v>0.33208693263331351</v>
      </c>
      <c r="AE38" s="15">
        <v>8</v>
      </c>
      <c r="AF38" s="15">
        <v>4.1510866579164189E-2</v>
      </c>
      <c r="AG38" s="15"/>
      <c r="AH38" s="15"/>
      <c r="AI38" s="15"/>
    </row>
    <row r="39" spans="1:35">
      <c r="A39" t="s">
        <v>192</v>
      </c>
      <c r="B39" t="s">
        <v>193</v>
      </c>
      <c r="C39" s="4">
        <v>10</v>
      </c>
      <c r="D39" s="4">
        <v>1</v>
      </c>
      <c r="E39" s="4">
        <v>500</v>
      </c>
      <c r="F39" s="4" t="s">
        <v>121</v>
      </c>
      <c r="G39" s="4">
        <v>72.400000000000006</v>
      </c>
      <c r="H39">
        <v>4303</v>
      </c>
      <c r="I39" s="5">
        <f t="shared" si="0"/>
        <v>5.943370165745856</v>
      </c>
      <c r="J39" t="s">
        <v>193</v>
      </c>
      <c r="U39" s="15"/>
      <c r="V39" s="15"/>
      <c r="W39" s="15"/>
      <c r="X39" s="15"/>
      <c r="Y39" s="15"/>
      <c r="Z39" s="15"/>
      <c r="AA39" s="15"/>
      <c r="AC39" s="15"/>
      <c r="AD39" s="15"/>
      <c r="AE39" s="15"/>
      <c r="AF39" s="15"/>
      <c r="AG39" s="15"/>
      <c r="AH39" s="15"/>
      <c r="AI39" s="15"/>
    </row>
    <row r="40" spans="1:35" ht="15.75" thickBot="1">
      <c r="A40" t="s">
        <v>194</v>
      </c>
      <c r="B40" t="s">
        <v>195</v>
      </c>
      <c r="C40" s="4">
        <v>10</v>
      </c>
      <c r="D40" s="4">
        <v>1</v>
      </c>
      <c r="E40" s="4">
        <v>500</v>
      </c>
      <c r="F40" s="4" t="s">
        <v>121</v>
      </c>
      <c r="G40" s="4">
        <v>72.400000000000006</v>
      </c>
      <c r="H40">
        <v>4985</v>
      </c>
      <c r="I40" s="5">
        <f t="shared" si="0"/>
        <v>6.8853591160220979</v>
      </c>
      <c r="J40" t="s">
        <v>195</v>
      </c>
      <c r="U40" s="16" t="s">
        <v>418</v>
      </c>
      <c r="V40" s="16">
        <v>3501.3816406542978</v>
      </c>
      <c r="W40" s="16">
        <v>11</v>
      </c>
      <c r="X40" s="16"/>
      <c r="Y40" s="16"/>
      <c r="Z40" s="16"/>
      <c r="AA40" s="16"/>
      <c r="AC40" s="16" t="s">
        <v>418</v>
      </c>
      <c r="AD40" s="16">
        <v>0.50610100424284921</v>
      </c>
      <c r="AE40" s="16">
        <v>11</v>
      </c>
      <c r="AF40" s="16"/>
      <c r="AG40" s="16"/>
      <c r="AH40" s="16"/>
      <c r="AI40" s="16"/>
    </row>
    <row r="41" spans="1:35">
      <c r="A41" t="s">
        <v>196</v>
      </c>
      <c r="B41" t="s">
        <v>197</v>
      </c>
      <c r="C41" s="4">
        <v>10</v>
      </c>
      <c r="D41" s="4">
        <v>1</v>
      </c>
      <c r="E41" s="4">
        <v>500</v>
      </c>
      <c r="F41" s="4" t="s">
        <v>121</v>
      </c>
      <c r="G41" s="4">
        <v>72.400000000000006</v>
      </c>
      <c r="H41">
        <v>21754</v>
      </c>
      <c r="I41" s="5">
        <f t="shared" si="0"/>
        <v>30.046961325966848</v>
      </c>
      <c r="J41" t="s">
        <v>197</v>
      </c>
    </row>
    <row r="42" spans="1:35">
      <c r="A42" t="s">
        <v>198</v>
      </c>
      <c r="B42" t="s">
        <v>199</v>
      </c>
      <c r="C42" s="4">
        <v>10</v>
      </c>
      <c r="D42" s="4">
        <v>1</v>
      </c>
      <c r="E42" s="4">
        <v>500</v>
      </c>
      <c r="F42" s="4" t="s">
        <v>121</v>
      </c>
      <c r="G42" s="4">
        <v>72.400000000000006</v>
      </c>
      <c r="H42">
        <v>15178</v>
      </c>
      <c r="I42" s="5">
        <f t="shared" si="0"/>
        <v>20.96408839779005</v>
      </c>
      <c r="J42" t="s">
        <v>199</v>
      </c>
    </row>
    <row r="43" spans="1:35">
      <c r="A43" t="s">
        <v>200</v>
      </c>
      <c r="B43" t="s">
        <v>201</v>
      </c>
      <c r="C43" s="4">
        <v>10</v>
      </c>
      <c r="D43" s="4">
        <v>1</v>
      </c>
      <c r="E43" s="4">
        <v>500</v>
      </c>
      <c r="F43" s="4" t="s">
        <v>121</v>
      </c>
      <c r="G43" s="4">
        <v>72.400000000000006</v>
      </c>
      <c r="H43">
        <v>23532</v>
      </c>
      <c r="I43" s="5">
        <f t="shared" si="0"/>
        <v>32.502762430939221</v>
      </c>
      <c r="J43" t="s">
        <v>201</v>
      </c>
      <c r="V43" t="s">
        <v>426</v>
      </c>
    </row>
    <row r="44" spans="1:35">
      <c r="A44" t="s">
        <v>202</v>
      </c>
      <c r="B44" t="s">
        <v>203</v>
      </c>
      <c r="C44" s="4">
        <v>10</v>
      </c>
      <c r="D44" s="4">
        <v>1</v>
      </c>
      <c r="E44" s="4">
        <v>500</v>
      </c>
      <c r="F44" s="4" t="s">
        <v>121</v>
      </c>
      <c r="G44" s="4">
        <v>72.400000000000006</v>
      </c>
      <c r="H44">
        <v>14594</v>
      </c>
      <c r="I44" s="5">
        <f t="shared" si="0"/>
        <v>20.157458563535911</v>
      </c>
      <c r="J44" t="s">
        <v>203</v>
      </c>
    </row>
    <row r="45" spans="1:35">
      <c r="A45" t="s">
        <v>204</v>
      </c>
      <c r="B45" t="s">
        <v>205</v>
      </c>
      <c r="C45" s="4">
        <v>10</v>
      </c>
      <c r="D45" s="4">
        <v>1</v>
      </c>
      <c r="E45" s="4">
        <v>500</v>
      </c>
      <c r="F45" s="4" t="s">
        <v>121</v>
      </c>
      <c r="G45" s="4">
        <v>72.400000000000006</v>
      </c>
      <c r="H45">
        <v>19221</v>
      </c>
      <c r="I45" s="5">
        <f t="shared" si="0"/>
        <v>26.548342541436458</v>
      </c>
      <c r="J45" t="s">
        <v>205</v>
      </c>
    </row>
    <row r="46" spans="1:35">
      <c r="A46" t="s">
        <v>206</v>
      </c>
      <c r="B46" t="s">
        <v>207</v>
      </c>
      <c r="C46" s="4">
        <v>10</v>
      </c>
      <c r="D46" s="4">
        <v>1</v>
      </c>
      <c r="E46" s="4">
        <v>500</v>
      </c>
      <c r="F46" s="4" t="s">
        <v>121</v>
      </c>
      <c r="G46" s="4">
        <v>72.400000000000006</v>
      </c>
      <c r="H46">
        <v>12672</v>
      </c>
      <c r="I46" s="5">
        <f t="shared" si="0"/>
        <v>17.502762430939224</v>
      </c>
      <c r="J46" t="s">
        <v>207</v>
      </c>
      <c r="U46">
        <f>TTEST(N5:N16,S5:S16,2,1)</f>
        <v>2.8488192589984358E-3</v>
      </c>
    </row>
    <row r="47" spans="1:35">
      <c r="A47" t="s">
        <v>208</v>
      </c>
      <c r="B47" t="s">
        <v>209</v>
      </c>
      <c r="C47" s="4">
        <v>10</v>
      </c>
      <c r="D47" s="4">
        <v>1</v>
      </c>
      <c r="E47" s="4">
        <v>500</v>
      </c>
      <c r="F47" s="4" t="s">
        <v>121</v>
      </c>
      <c r="G47" s="4">
        <v>72.400000000000006</v>
      </c>
      <c r="H47">
        <v>6255</v>
      </c>
      <c r="I47" s="5">
        <f t="shared" si="0"/>
        <v>8.6395027624309382</v>
      </c>
      <c r="J47" t="s">
        <v>209</v>
      </c>
    </row>
    <row r="48" spans="1:35">
      <c r="A48" t="s">
        <v>210</v>
      </c>
      <c r="B48" t="s">
        <v>211</v>
      </c>
      <c r="C48" s="4">
        <v>10</v>
      </c>
      <c r="D48" s="4">
        <v>1</v>
      </c>
      <c r="E48" s="4">
        <v>500</v>
      </c>
      <c r="F48" s="4" t="s">
        <v>121</v>
      </c>
      <c r="G48" s="4">
        <v>72.400000000000006</v>
      </c>
      <c r="H48">
        <v>8309</v>
      </c>
      <c r="I48" s="5">
        <f t="shared" si="0"/>
        <v>11.476519337016574</v>
      </c>
      <c r="J48" t="s">
        <v>211</v>
      </c>
    </row>
    <row r="49" spans="1:23">
      <c r="A49" t="s">
        <v>212</v>
      </c>
      <c r="B49" t="s">
        <v>213</v>
      </c>
      <c r="C49" s="4">
        <v>10</v>
      </c>
      <c r="D49" s="4">
        <v>1</v>
      </c>
      <c r="E49" s="4">
        <v>500</v>
      </c>
      <c r="F49" s="4" t="s">
        <v>121</v>
      </c>
      <c r="G49" s="4">
        <v>72.400000000000006</v>
      </c>
      <c r="H49">
        <v>7625</v>
      </c>
      <c r="I49" s="5">
        <f t="shared" si="0"/>
        <v>10.531767955801103</v>
      </c>
      <c r="J49" t="s">
        <v>213</v>
      </c>
    </row>
    <row r="50" spans="1:23">
      <c r="A50" t="s">
        <v>214</v>
      </c>
      <c r="B50" t="s">
        <v>215</v>
      </c>
      <c r="C50" s="4">
        <v>10</v>
      </c>
      <c r="D50" s="4">
        <v>1</v>
      </c>
      <c r="E50" s="4">
        <v>500</v>
      </c>
      <c r="F50" s="4" t="s">
        <v>121</v>
      </c>
      <c r="G50" s="4">
        <v>72.400000000000006</v>
      </c>
      <c r="H50">
        <v>4825</v>
      </c>
      <c r="I50" s="5">
        <f t="shared" si="0"/>
        <v>6.6643646408839778</v>
      </c>
      <c r="J50" t="s">
        <v>215</v>
      </c>
    </row>
    <row r="51" spans="1:23">
      <c r="A51" t="s">
        <v>216</v>
      </c>
      <c r="B51" t="s">
        <v>217</v>
      </c>
      <c r="C51" s="4">
        <v>10</v>
      </c>
      <c r="D51" s="4">
        <v>1</v>
      </c>
      <c r="E51" s="4">
        <v>500</v>
      </c>
      <c r="F51" s="4" t="s">
        <v>121</v>
      </c>
      <c r="G51" s="4">
        <v>72.400000000000006</v>
      </c>
      <c r="H51">
        <v>3856</v>
      </c>
      <c r="I51" s="5">
        <f t="shared" si="0"/>
        <v>5.3259668508287286</v>
      </c>
      <c r="J51" t="s">
        <v>217</v>
      </c>
    </row>
    <row r="52" spans="1:23">
      <c r="A52" t="s">
        <v>218</v>
      </c>
      <c r="B52" t="s">
        <v>219</v>
      </c>
      <c r="C52" s="4">
        <v>10</v>
      </c>
      <c r="D52" s="4">
        <v>1</v>
      </c>
      <c r="E52" s="4">
        <v>500</v>
      </c>
      <c r="F52" s="4" t="s">
        <v>121</v>
      </c>
      <c r="G52" s="4">
        <v>72.400000000000006</v>
      </c>
      <c r="H52">
        <v>5090</v>
      </c>
      <c r="I52" s="5">
        <f t="shared" si="0"/>
        <v>7.0303867403314912</v>
      </c>
      <c r="J52" t="s">
        <v>219</v>
      </c>
    </row>
    <row r="53" spans="1:23">
      <c r="A53" t="s">
        <v>220</v>
      </c>
      <c r="B53" t="s">
        <v>221</v>
      </c>
      <c r="C53" s="4">
        <v>10</v>
      </c>
      <c r="D53" s="4">
        <v>1</v>
      </c>
      <c r="E53" s="4">
        <v>500</v>
      </c>
      <c r="F53" s="4" t="s">
        <v>121</v>
      </c>
      <c r="G53" s="4">
        <v>72.400000000000006</v>
      </c>
      <c r="H53">
        <v>35791</v>
      </c>
      <c r="I53" s="5">
        <f t="shared" si="0"/>
        <v>49.435082872928177</v>
      </c>
      <c r="J53" t="s">
        <v>221</v>
      </c>
      <c r="V53" t="s">
        <v>270</v>
      </c>
    </row>
    <row r="54" spans="1:23">
      <c r="A54" t="s">
        <v>222</v>
      </c>
      <c r="B54" t="s">
        <v>223</v>
      </c>
      <c r="C54" s="4">
        <v>10</v>
      </c>
      <c r="D54" s="4">
        <v>1</v>
      </c>
      <c r="E54" s="4">
        <v>500</v>
      </c>
      <c r="F54" s="4" t="s">
        <v>121</v>
      </c>
      <c r="G54" s="4">
        <v>72.400000000000006</v>
      </c>
      <c r="H54">
        <v>26528</v>
      </c>
      <c r="I54" s="5">
        <f t="shared" si="0"/>
        <v>36.64088397790055</v>
      </c>
      <c r="J54" t="s">
        <v>223</v>
      </c>
      <c r="U54" t="str">
        <f t="shared" ref="U54:U62" si="27">M5</f>
        <v>1a</v>
      </c>
      <c r="V54" s="6">
        <f t="shared" ref="V54:V62" si="28">T5</f>
        <v>43.364621646993641</v>
      </c>
    </row>
    <row r="55" spans="1:23">
      <c r="A55" t="s">
        <v>224</v>
      </c>
      <c r="B55" t="s">
        <v>225</v>
      </c>
      <c r="C55" s="4">
        <v>10</v>
      </c>
      <c r="D55" s="4">
        <v>1</v>
      </c>
      <c r="E55" s="4">
        <v>500</v>
      </c>
      <c r="F55" s="4" t="s">
        <v>121</v>
      </c>
      <c r="G55" s="4">
        <v>72.400000000000006</v>
      </c>
      <c r="H55">
        <v>39888</v>
      </c>
      <c r="I55" s="5">
        <f t="shared" si="0"/>
        <v>55.093922651933696</v>
      </c>
      <c r="J55" t="s">
        <v>225</v>
      </c>
      <c r="U55" t="str">
        <f t="shared" si="27"/>
        <v>1b</v>
      </c>
      <c r="V55" s="6">
        <f t="shared" si="28"/>
        <v>42.434971298419491</v>
      </c>
    </row>
    <row r="56" spans="1:23">
      <c r="A56" t="s">
        <v>226</v>
      </c>
      <c r="B56" t="s">
        <v>227</v>
      </c>
      <c r="C56" s="4">
        <v>10</v>
      </c>
      <c r="D56" s="4">
        <v>1</v>
      </c>
      <c r="E56" s="4">
        <v>500</v>
      </c>
      <c r="F56" s="4" t="s">
        <v>121</v>
      </c>
      <c r="G56" s="4">
        <v>72.400000000000006</v>
      </c>
      <c r="H56">
        <v>21829</v>
      </c>
      <c r="I56" s="5">
        <f t="shared" si="0"/>
        <v>30.150552486187845</v>
      </c>
      <c r="J56" t="s">
        <v>227</v>
      </c>
      <c r="U56" t="str">
        <f t="shared" si="27"/>
        <v>1c</v>
      </c>
      <c r="V56" s="6">
        <f t="shared" si="28"/>
        <v>51.014223826159217</v>
      </c>
    </row>
    <row r="57" spans="1:23">
      <c r="A57" t="s">
        <v>228</v>
      </c>
      <c r="B57" t="s">
        <v>229</v>
      </c>
      <c r="C57" s="4">
        <v>10</v>
      </c>
      <c r="D57" s="4">
        <v>1</v>
      </c>
      <c r="E57" s="4">
        <v>500</v>
      </c>
      <c r="F57" s="4" t="s">
        <v>121</v>
      </c>
      <c r="G57" s="4">
        <v>72.400000000000006</v>
      </c>
      <c r="H57">
        <v>24795</v>
      </c>
      <c r="I57" s="5">
        <f t="shared" si="0"/>
        <v>34.247237569060772</v>
      </c>
      <c r="J57" t="s">
        <v>229</v>
      </c>
      <c r="U57" t="str">
        <f t="shared" si="27"/>
        <v>2a</v>
      </c>
      <c r="V57" s="6">
        <f t="shared" si="28"/>
        <v>17.97805444836024</v>
      </c>
    </row>
    <row r="58" spans="1:23">
      <c r="A58" t="s">
        <v>230</v>
      </c>
      <c r="B58" t="s">
        <v>231</v>
      </c>
      <c r="C58" s="4">
        <v>10</v>
      </c>
      <c r="D58" s="4">
        <v>1</v>
      </c>
      <c r="E58" s="4">
        <v>500</v>
      </c>
      <c r="F58" s="4" t="s">
        <v>121</v>
      </c>
      <c r="G58" s="4">
        <v>72.400000000000006</v>
      </c>
      <c r="H58">
        <v>21879</v>
      </c>
      <c r="I58" s="5">
        <f t="shared" si="0"/>
        <v>30.21961325966851</v>
      </c>
      <c r="J58" t="s">
        <v>231</v>
      </c>
      <c r="U58" t="str">
        <f t="shared" si="27"/>
        <v>2b</v>
      </c>
      <c r="V58" s="6">
        <f t="shared" si="28"/>
        <v>20.695220763631326</v>
      </c>
    </row>
    <row r="59" spans="1:23">
      <c r="A59" t="s">
        <v>232</v>
      </c>
      <c r="B59" t="s">
        <v>233</v>
      </c>
      <c r="C59" s="4">
        <v>10</v>
      </c>
      <c r="D59" s="4">
        <v>1</v>
      </c>
      <c r="E59" s="4">
        <v>500</v>
      </c>
      <c r="F59" s="4" t="s">
        <v>121</v>
      </c>
      <c r="G59" s="4">
        <v>72.400000000000006</v>
      </c>
      <c r="H59">
        <v>10107</v>
      </c>
      <c r="I59" s="5">
        <f t="shared" si="0"/>
        <v>13.959944751381213</v>
      </c>
      <c r="J59" t="s">
        <v>233</v>
      </c>
      <c r="U59" t="str">
        <f t="shared" si="27"/>
        <v>2c</v>
      </c>
      <c r="V59" s="6">
        <f t="shared" si="28"/>
        <v>25.47800058480432</v>
      </c>
    </row>
    <row r="60" spans="1:23">
      <c r="A60" t="s">
        <v>234</v>
      </c>
      <c r="B60" t="s">
        <v>235</v>
      </c>
      <c r="C60" s="4">
        <v>10</v>
      </c>
      <c r="D60" s="4">
        <v>1</v>
      </c>
      <c r="E60" s="4">
        <v>500</v>
      </c>
      <c r="F60" s="4" t="s">
        <v>121</v>
      </c>
      <c r="G60" s="4">
        <v>72.400000000000006</v>
      </c>
      <c r="H60">
        <v>13075</v>
      </c>
      <c r="I60" s="5">
        <f t="shared" si="0"/>
        <v>18.05939226519337</v>
      </c>
      <c r="J60" t="s">
        <v>235</v>
      </c>
      <c r="U60" t="str">
        <f t="shared" si="27"/>
        <v>3a</v>
      </c>
      <c r="V60" s="6">
        <f t="shared" si="28"/>
        <v>11.18947660013235</v>
      </c>
    </row>
    <row r="61" spans="1:23">
      <c r="A61" t="s">
        <v>236</v>
      </c>
      <c r="B61" t="s">
        <v>237</v>
      </c>
      <c r="C61" s="4">
        <v>10</v>
      </c>
      <c r="D61" s="4">
        <v>1</v>
      </c>
      <c r="E61" s="4">
        <v>500</v>
      </c>
      <c r="F61" s="4" t="s">
        <v>121</v>
      </c>
      <c r="G61" s="4">
        <v>72.400000000000006</v>
      </c>
      <c r="H61">
        <v>11720</v>
      </c>
      <c r="I61" s="5">
        <f t="shared" si="0"/>
        <v>16.187845303867402</v>
      </c>
      <c r="J61" t="s">
        <v>237</v>
      </c>
      <c r="U61" t="str">
        <f t="shared" si="27"/>
        <v>3b</v>
      </c>
      <c r="V61" s="6">
        <f t="shared" si="28"/>
        <v>14.304186737253573</v>
      </c>
    </row>
    <row r="62" spans="1:23">
      <c r="A62" t="s">
        <v>238</v>
      </c>
      <c r="B62" t="s">
        <v>239</v>
      </c>
      <c r="C62" s="4">
        <v>10</v>
      </c>
      <c r="D62" s="4">
        <v>1</v>
      </c>
      <c r="E62" s="4">
        <v>500</v>
      </c>
      <c r="F62" s="4" t="s">
        <v>121</v>
      </c>
      <c r="G62" s="4">
        <v>72.400000000000006</v>
      </c>
      <c r="H62">
        <v>4590</v>
      </c>
      <c r="I62" s="5">
        <f t="shared" si="0"/>
        <v>6.3397790055248615</v>
      </c>
      <c r="J62" t="s">
        <v>239</v>
      </c>
      <c r="U62" t="str">
        <f t="shared" si="27"/>
        <v>3c</v>
      </c>
      <c r="V62" s="6">
        <f t="shared" si="28"/>
        <v>11.946298034749688</v>
      </c>
    </row>
    <row r="63" spans="1:23">
      <c r="A63" t="s">
        <v>240</v>
      </c>
      <c r="B63" t="s">
        <v>241</v>
      </c>
      <c r="C63" s="4">
        <v>10</v>
      </c>
      <c r="D63" s="4">
        <v>1</v>
      </c>
      <c r="E63" s="4">
        <v>500</v>
      </c>
      <c r="F63" s="4" t="s">
        <v>121</v>
      </c>
      <c r="G63" s="4">
        <v>72.400000000000006</v>
      </c>
      <c r="H63">
        <v>4072</v>
      </c>
      <c r="I63" s="5">
        <f t="shared" si="0"/>
        <v>5.624309392265193</v>
      </c>
      <c r="J63" t="s">
        <v>241</v>
      </c>
    </row>
    <row r="64" spans="1:23">
      <c r="A64" t="s">
        <v>242</v>
      </c>
      <c r="B64" t="s">
        <v>243</v>
      </c>
      <c r="C64" s="4">
        <v>10</v>
      </c>
      <c r="D64" s="4">
        <v>1</v>
      </c>
      <c r="E64" s="4">
        <v>500</v>
      </c>
      <c r="F64" s="4" t="s">
        <v>121</v>
      </c>
      <c r="G64" s="4">
        <v>72.400000000000006</v>
      </c>
      <c r="H64">
        <v>4755</v>
      </c>
      <c r="I64" s="5">
        <f t="shared" si="0"/>
        <v>6.5676795580110499</v>
      </c>
      <c r="J64" t="s">
        <v>243</v>
      </c>
      <c r="V64" t="s">
        <v>0</v>
      </c>
      <c r="W64" t="s">
        <v>11</v>
      </c>
    </row>
    <row r="65" spans="3:28">
      <c r="C65" s="4"/>
      <c r="D65" s="4"/>
      <c r="E65" s="4"/>
      <c r="F65" s="4"/>
      <c r="G65" s="4"/>
      <c r="I65" s="5"/>
      <c r="U65" t="str">
        <f>M25</f>
        <v>DC2+Bac+Lys</v>
      </c>
      <c r="V65" s="6">
        <f>AVERAGE(V54:V56)</f>
        <v>45.604605590524123</v>
      </c>
      <c r="W65">
        <f>STDEV(V54:V56)</f>
        <v>4.7078699572245917</v>
      </c>
    </row>
    <row r="66" spans="3:28">
      <c r="C66" s="4">
        <v>10</v>
      </c>
      <c r="D66" s="4">
        <v>1</v>
      </c>
      <c r="E66" s="4">
        <v>500</v>
      </c>
      <c r="F66" s="4" t="s">
        <v>121</v>
      </c>
      <c r="G66" s="4">
        <v>71.8</v>
      </c>
      <c r="H66">
        <v>36736</v>
      </c>
      <c r="I66" s="5">
        <f t="shared" ref="I66:I85" si="29">((((H66)/((G66*D66)/1000))*C66))/100000</f>
        <v>51.164345403899716</v>
      </c>
      <c r="J66" t="s">
        <v>245</v>
      </c>
      <c r="U66" t="str">
        <f>M26</f>
        <v>DC2+Bac</v>
      </c>
      <c r="V66" s="6">
        <f>AVERAGE(V57:V59)</f>
        <v>21.383758598931962</v>
      </c>
      <c r="W66">
        <f>STDEV(V57:V59)</f>
        <v>3.7970858925458906</v>
      </c>
    </row>
    <row r="67" spans="3:28">
      <c r="C67" s="4">
        <v>10</v>
      </c>
      <c r="D67" s="4">
        <v>1</v>
      </c>
      <c r="E67" s="4">
        <v>500</v>
      </c>
      <c r="F67" s="4" t="s">
        <v>121</v>
      </c>
      <c r="G67" s="4">
        <v>71.8</v>
      </c>
      <c r="H67">
        <v>36010</v>
      </c>
      <c r="I67" s="5">
        <f t="shared" si="29"/>
        <v>50.153203342618383</v>
      </c>
      <c r="J67" t="s">
        <v>246</v>
      </c>
      <c r="U67" t="str">
        <f>M27</f>
        <v>DC2+Lys</v>
      </c>
      <c r="V67" s="6">
        <f>AVERAGE(V60:V62)</f>
        <v>12.479987124045204</v>
      </c>
      <c r="W67">
        <f>STDEV(V60:V62)</f>
        <v>1.6244915643351889</v>
      </c>
    </row>
    <row r="68" spans="3:28">
      <c r="C68" s="4">
        <v>10</v>
      </c>
      <c r="D68" s="4">
        <v>1</v>
      </c>
      <c r="E68" s="4">
        <v>500</v>
      </c>
      <c r="F68" s="4" t="s">
        <v>121</v>
      </c>
      <c r="G68" s="4">
        <v>71.8</v>
      </c>
      <c r="H68">
        <v>41919</v>
      </c>
      <c r="I68" s="5">
        <f t="shared" si="29"/>
        <v>58.383008356545957</v>
      </c>
      <c r="J68" t="s">
        <v>247</v>
      </c>
    </row>
    <row r="69" spans="3:28">
      <c r="C69" s="4">
        <v>10</v>
      </c>
      <c r="D69" s="4">
        <v>1</v>
      </c>
      <c r="E69" s="4">
        <v>500</v>
      </c>
      <c r="F69" s="4" t="s">
        <v>121</v>
      </c>
      <c r="G69" s="4">
        <v>71.8</v>
      </c>
      <c r="H69">
        <v>18801</v>
      </c>
      <c r="I69" s="5">
        <f t="shared" si="29"/>
        <v>26.185236768802227</v>
      </c>
      <c r="J69" t="s">
        <v>248</v>
      </c>
      <c r="U69" t="str">
        <f>U65</f>
        <v>DC2+Bac+Lys</v>
      </c>
      <c r="V69" s="6">
        <f>V65</f>
        <v>45.604605590524123</v>
      </c>
      <c r="W69">
        <f>W65</f>
        <v>4.7078699572245917</v>
      </c>
    </row>
    <row r="70" spans="3:28">
      <c r="C70" s="4">
        <v>10</v>
      </c>
      <c r="D70" s="4">
        <v>1</v>
      </c>
      <c r="E70" s="4">
        <v>500</v>
      </c>
      <c r="F70" s="4" t="s">
        <v>121</v>
      </c>
      <c r="G70" s="4">
        <v>71.8</v>
      </c>
      <c r="H70">
        <v>20384</v>
      </c>
      <c r="I70" s="5">
        <f t="shared" si="29"/>
        <v>28.389972144846794</v>
      </c>
      <c r="J70" t="s">
        <v>249</v>
      </c>
      <c r="U70" t="s">
        <v>452</v>
      </c>
      <c r="V70" s="6">
        <f>SUM(V66:V67)</f>
        <v>33.863745722977164</v>
      </c>
      <c r="W70">
        <f>SQRT((W66^2)+(W67^2))</f>
        <v>4.1299920239592733</v>
      </c>
    </row>
    <row r="71" spans="3:28">
      <c r="C71" s="4">
        <v>10</v>
      </c>
      <c r="D71" s="4">
        <v>1</v>
      </c>
      <c r="E71" s="4">
        <v>500</v>
      </c>
      <c r="F71" s="4" t="s">
        <v>121</v>
      </c>
      <c r="G71" s="4">
        <v>71.8</v>
      </c>
      <c r="H71">
        <v>23942</v>
      </c>
      <c r="I71" s="5">
        <f t="shared" si="29"/>
        <v>33.345403899721447</v>
      </c>
      <c r="J71" t="s">
        <v>250</v>
      </c>
    </row>
    <row r="72" spans="3:28">
      <c r="C72" s="4">
        <v>10</v>
      </c>
      <c r="D72" s="4">
        <v>1</v>
      </c>
      <c r="E72" s="4">
        <v>500</v>
      </c>
      <c r="F72" s="4" t="s">
        <v>121</v>
      </c>
      <c r="G72" s="4">
        <v>71.8</v>
      </c>
      <c r="H72">
        <v>13544</v>
      </c>
      <c r="I72" s="5">
        <f t="shared" si="29"/>
        <v>18.863509749303621</v>
      </c>
      <c r="J72" t="s">
        <v>251</v>
      </c>
    </row>
    <row r="73" spans="3:28">
      <c r="C73" s="4">
        <v>10</v>
      </c>
      <c r="D73" s="4">
        <v>1</v>
      </c>
      <c r="E73" s="4">
        <v>500</v>
      </c>
      <c r="F73" s="4" t="s">
        <v>121</v>
      </c>
      <c r="G73" s="4">
        <v>71.8</v>
      </c>
      <c r="H73">
        <v>15704</v>
      </c>
      <c r="I73" s="5">
        <f t="shared" si="29"/>
        <v>21.871866295264624</v>
      </c>
      <c r="J73" t="s">
        <v>252</v>
      </c>
      <c r="V73" t="str">
        <f>U65</f>
        <v>DC2+Bac+Lys</v>
      </c>
      <c r="W73" t="str">
        <f>U66</f>
        <v>DC2+Bac</v>
      </c>
      <c r="X73" t="str">
        <f>U67</f>
        <v>DC2+Lys</v>
      </c>
    </row>
    <row r="74" spans="3:28">
      <c r="C74" s="4">
        <v>10</v>
      </c>
      <c r="D74" s="4">
        <v>1</v>
      </c>
      <c r="E74" s="4">
        <v>500</v>
      </c>
      <c r="F74" s="4" t="s">
        <v>121</v>
      </c>
      <c r="G74" s="4">
        <v>71.8</v>
      </c>
      <c r="H74">
        <v>14135</v>
      </c>
      <c r="I74" s="5">
        <f t="shared" si="29"/>
        <v>19.686629526462394</v>
      </c>
      <c r="J74" t="s">
        <v>253</v>
      </c>
      <c r="V74" s="6">
        <f>V65</f>
        <v>45.604605590524123</v>
      </c>
    </row>
    <row r="75" spans="3:28">
      <c r="C75" s="4">
        <v>10</v>
      </c>
      <c r="D75" s="4">
        <v>1</v>
      </c>
      <c r="E75" s="4">
        <v>500</v>
      </c>
      <c r="F75" s="4" t="s">
        <v>121</v>
      </c>
      <c r="G75" s="4">
        <v>71.8</v>
      </c>
      <c r="H75">
        <v>5428</v>
      </c>
      <c r="I75" s="5">
        <f t="shared" si="29"/>
        <v>7.5598885793871853</v>
      </c>
      <c r="J75" t="s">
        <v>254</v>
      </c>
      <c r="W75" s="6">
        <f>V66</f>
        <v>21.383758598931962</v>
      </c>
      <c r="X75" s="6">
        <f>V67</f>
        <v>12.479987124045204</v>
      </c>
    </row>
    <row r="76" spans="3:28">
      <c r="C76" s="4">
        <v>10</v>
      </c>
      <c r="D76" s="4">
        <v>1</v>
      </c>
      <c r="E76" s="4">
        <v>500</v>
      </c>
      <c r="F76" s="4" t="s">
        <v>121</v>
      </c>
      <c r="G76" s="4">
        <v>71.8</v>
      </c>
      <c r="H76">
        <v>4382</v>
      </c>
      <c r="I76" s="5">
        <f t="shared" si="29"/>
        <v>6.103064066852367</v>
      </c>
      <c r="J76" t="s">
        <v>255</v>
      </c>
    </row>
    <row r="77" spans="3:28">
      <c r="C77" s="4">
        <v>10</v>
      </c>
      <c r="D77" s="4">
        <v>1</v>
      </c>
      <c r="E77" s="4">
        <v>500</v>
      </c>
      <c r="F77" s="4" t="s">
        <v>121</v>
      </c>
      <c r="G77" s="4">
        <v>71.8</v>
      </c>
      <c r="H77">
        <v>5116</v>
      </c>
      <c r="I77" s="5">
        <f t="shared" si="29"/>
        <v>7.1253481894150426</v>
      </c>
      <c r="J77" t="s">
        <v>256</v>
      </c>
      <c r="V77" t="str">
        <f>V73</f>
        <v>DC2+Bac+Lys</v>
      </c>
      <c r="W77" t="str">
        <f t="shared" ref="W77:X77" si="30">W73</f>
        <v>DC2+Bac</v>
      </c>
      <c r="X77" t="str">
        <f t="shared" si="30"/>
        <v>DC2+Lys</v>
      </c>
    </row>
    <row r="78" spans="3:28">
      <c r="C78" s="4">
        <v>10</v>
      </c>
      <c r="D78" s="4">
        <v>1</v>
      </c>
      <c r="E78" s="4">
        <v>500</v>
      </c>
      <c r="F78" s="4" t="s">
        <v>121</v>
      </c>
      <c r="G78" s="4">
        <v>71.8</v>
      </c>
      <c r="H78">
        <v>35127</v>
      </c>
      <c r="I78" s="5">
        <f t="shared" si="29"/>
        <v>48.923398328690809</v>
      </c>
      <c r="J78" t="s">
        <v>257</v>
      </c>
      <c r="U78" t="s">
        <v>467</v>
      </c>
      <c r="V78" s="6">
        <f>V74*100000000*7.83*0.000000000000001*1000000</f>
        <v>35.70840617738039</v>
      </c>
      <c r="W78" s="6"/>
      <c r="X78" s="6"/>
    </row>
    <row r="79" spans="3:28">
      <c r="C79" s="4">
        <v>10</v>
      </c>
      <c r="D79" s="4">
        <v>1</v>
      </c>
      <c r="E79" s="4">
        <v>500</v>
      </c>
      <c r="F79" s="4" t="s">
        <v>121</v>
      </c>
      <c r="G79" s="4">
        <v>71.8</v>
      </c>
      <c r="H79">
        <v>37030</v>
      </c>
      <c r="I79" s="5">
        <f t="shared" si="29"/>
        <v>51.573816155988851</v>
      </c>
      <c r="J79" t="s">
        <v>258</v>
      </c>
      <c r="O79" t="s">
        <v>8</v>
      </c>
      <c r="P79" t="s">
        <v>267</v>
      </c>
      <c r="Q79" t="s">
        <v>265</v>
      </c>
      <c r="R79" t="s">
        <v>266</v>
      </c>
      <c r="V79" s="6"/>
      <c r="W79" s="6">
        <f t="shared" ref="W79:X79" si="31">W75*100000000*7.83*0.000000000000001*1000000</f>
        <v>16.743482982963727</v>
      </c>
      <c r="X79" s="6">
        <f t="shared" si="31"/>
        <v>9.7718299181273949</v>
      </c>
      <c r="Z79" s="6">
        <f>V67</f>
        <v>12.479987124045204</v>
      </c>
      <c r="AA79" s="6">
        <f>W67</f>
        <v>1.6244915643351889</v>
      </c>
      <c r="AB79" t="s">
        <v>465</v>
      </c>
    </row>
    <row r="80" spans="3:28">
      <c r="C80" s="4">
        <v>10</v>
      </c>
      <c r="D80" s="4">
        <v>1</v>
      </c>
      <c r="E80" s="4">
        <v>500</v>
      </c>
      <c r="F80" s="4" t="s">
        <v>121</v>
      </c>
      <c r="G80" s="4">
        <v>71.8</v>
      </c>
      <c r="H80">
        <v>20328</v>
      </c>
      <c r="I80" s="5">
        <f t="shared" si="29"/>
        <v>28.31197771587744</v>
      </c>
      <c r="J80" t="s">
        <v>259</v>
      </c>
      <c r="N80" t="s">
        <v>1</v>
      </c>
      <c r="O80" s="6">
        <f>I53</f>
        <v>49.435082872928177</v>
      </c>
      <c r="P80" s="6">
        <f>I66</f>
        <v>51.164345403899716</v>
      </c>
      <c r="Q80" s="6">
        <f>I78</f>
        <v>48.923398328690809</v>
      </c>
      <c r="R80" s="6">
        <f>I79</f>
        <v>51.573816155988851</v>
      </c>
      <c r="Z80">
        <f>Z79*100000000*7.83*0.000000000000001*1000000</f>
        <v>9.7718299181273949</v>
      </c>
      <c r="AA80">
        <f>AA79*100000000*7.83*0.000000000000001*1000000</f>
        <v>1.271976894874453</v>
      </c>
      <c r="AB80" t="s">
        <v>466</v>
      </c>
    </row>
    <row r="81" spans="3:24">
      <c r="C81" s="4">
        <v>10</v>
      </c>
      <c r="D81" s="4">
        <v>1</v>
      </c>
      <c r="E81" s="4">
        <v>500</v>
      </c>
      <c r="F81" s="4" t="s">
        <v>121</v>
      </c>
      <c r="G81" s="4">
        <v>71.8</v>
      </c>
      <c r="H81">
        <v>21207</v>
      </c>
      <c r="I81" s="5">
        <f t="shared" si="29"/>
        <v>29.53621169916434</v>
      </c>
      <c r="J81" t="s">
        <v>260</v>
      </c>
      <c r="N81" t="s">
        <v>6</v>
      </c>
      <c r="O81" s="6">
        <f>I56</f>
        <v>30.150552486187845</v>
      </c>
      <c r="P81" s="6">
        <f>I69</f>
        <v>26.185236768802227</v>
      </c>
      <c r="Q81" s="6">
        <f>I80</f>
        <v>28.31197771587744</v>
      </c>
      <c r="R81" s="6">
        <f>I81</f>
        <v>29.53621169916434</v>
      </c>
      <c r="U81" t="s">
        <v>468</v>
      </c>
      <c r="V81">
        <f>W65*100000000*7.83*0.000000000000001*1000000</f>
        <v>3.6862621765068559</v>
      </c>
    </row>
    <row r="82" spans="3:24">
      <c r="C82" s="4">
        <v>10</v>
      </c>
      <c r="D82" s="4">
        <v>1</v>
      </c>
      <c r="E82" s="4">
        <v>500</v>
      </c>
      <c r="F82" s="4" t="s">
        <v>121</v>
      </c>
      <c r="G82" s="4">
        <v>71.8</v>
      </c>
      <c r="H82">
        <v>10006</v>
      </c>
      <c r="I82" s="5">
        <f t="shared" si="29"/>
        <v>13.93593314763231</v>
      </c>
      <c r="J82" t="s">
        <v>261</v>
      </c>
      <c r="N82" t="s">
        <v>7</v>
      </c>
      <c r="O82" s="6">
        <f>I59</f>
        <v>13.959944751381213</v>
      </c>
      <c r="P82" s="6">
        <f>I72</f>
        <v>18.863509749303621</v>
      </c>
      <c r="Q82" s="6">
        <f>I82</f>
        <v>13.93593314763231</v>
      </c>
      <c r="R82" s="6">
        <f>I83</f>
        <v>13.958217270194986</v>
      </c>
      <c r="W82">
        <f>W66*100000000*7.83*0.000000000000001*1000000</f>
        <v>2.9731182538634329</v>
      </c>
      <c r="X82">
        <f>W67*100000000*7.83*0.000000000000001*1000000</f>
        <v>1.271976894874453</v>
      </c>
    </row>
    <row r="83" spans="3:24">
      <c r="C83" s="4">
        <v>10</v>
      </c>
      <c r="D83" s="4">
        <v>1</v>
      </c>
      <c r="E83" s="4">
        <v>500</v>
      </c>
      <c r="F83" s="4" t="s">
        <v>121</v>
      </c>
      <c r="G83" s="4">
        <v>71.8</v>
      </c>
      <c r="H83">
        <v>10022</v>
      </c>
      <c r="I83" s="5">
        <f t="shared" si="29"/>
        <v>13.958217270194986</v>
      </c>
      <c r="J83" t="s">
        <v>262</v>
      </c>
      <c r="N83" t="s">
        <v>4</v>
      </c>
      <c r="O83" s="6">
        <f>I62</f>
        <v>6.3397790055248615</v>
      </c>
      <c r="P83" s="6">
        <f>I75</f>
        <v>7.5598885793871853</v>
      </c>
      <c r="Q83" s="6">
        <f>I84</f>
        <v>6.1337047353760443</v>
      </c>
      <c r="R83" s="6">
        <f>I85</f>
        <v>5.9930362116991649</v>
      </c>
    </row>
    <row r="84" spans="3:24">
      <c r="C84" s="4">
        <v>10</v>
      </c>
      <c r="D84" s="4">
        <v>1</v>
      </c>
      <c r="E84" s="4">
        <v>500</v>
      </c>
      <c r="F84" s="4" t="s">
        <v>121</v>
      </c>
      <c r="G84" s="4">
        <v>71.8</v>
      </c>
      <c r="H84">
        <v>4404</v>
      </c>
      <c r="I84" s="5">
        <f t="shared" si="29"/>
        <v>6.1337047353760443</v>
      </c>
      <c r="J84" t="s">
        <v>263</v>
      </c>
    </row>
    <row r="85" spans="3:24">
      <c r="C85" s="4">
        <v>10</v>
      </c>
      <c r="D85" s="4">
        <v>1</v>
      </c>
      <c r="E85" s="4">
        <v>500</v>
      </c>
      <c r="F85" s="4" t="s">
        <v>121</v>
      </c>
      <c r="G85" s="4">
        <v>71.8</v>
      </c>
      <c r="H85">
        <v>4303</v>
      </c>
      <c r="I85" s="5">
        <f t="shared" si="29"/>
        <v>5.9930362116991649</v>
      </c>
      <c r="J85" t="s">
        <v>264</v>
      </c>
    </row>
    <row r="86" spans="3:24">
      <c r="C86" s="4"/>
      <c r="D86" s="4"/>
      <c r="E86" s="4"/>
      <c r="F86" s="4"/>
      <c r="G86" s="4"/>
      <c r="I86" s="5"/>
    </row>
    <row r="87" spans="3:24">
      <c r="C87" s="4"/>
      <c r="D87" s="4"/>
      <c r="E87" s="4"/>
      <c r="F87" s="4"/>
      <c r="G87" s="4"/>
      <c r="I87" s="5"/>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K208"/>
  <sheetViews>
    <sheetView zoomScale="110" zoomScaleNormal="110" workbookViewId="0">
      <selection activeCell="AH46" sqref="AH46"/>
    </sheetView>
  </sheetViews>
  <sheetFormatPr defaultRowHeight="15"/>
  <cols>
    <col min="1" max="1" width="9.7109375" bestFit="1" customWidth="1"/>
    <col min="2" max="2" width="16.7109375" customWidth="1"/>
    <col min="19" max="19" width="12.5703125" bestFit="1" customWidth="1"/>
    <col min="44" max="44" width="12" bestFit="1" customWidth="1"/>
  </cols>
  <sheetData>
    <row r="1" spans="1:19" ht="39.75">
      <c r="F1" s="3" t="s">
        <v>73</v>
      </c>
      <c r="G1" s="3" t="s">
        <v>74</v>
      </c>
      <c r="H1" s="3" t="s">
        <v>75</v>
      </c>
      <c r="I1" s="3" t="s">
        <v>76</v>
      </c>
      <c r="J1" s="3" t="s">
        <v>77</v>
      </c>
      <c r="K1" s="3" t="s">
        <v>78</v>
      </c>
      <c r="L1" s="3" t="s">
        <v>79</v>
      </c>
      <c r="M1" s="3" t="s">
        <v>80</v>
      </c>
      <c r="N1" s="3" t="s">
        <v>81</v>
      </c>
      <c r="O1" s="3" t="s">
        <v>82</v>
      </c>
      <c r="P1" s="3" t="s">
        <v>73</v>
      </c>
    </row>
    <row r="2" spans="1:19">
      <c r="A2" s="1">
        <v>41325</v>
      </c>
      <c r="F2" s="4"/>
      <c r="G2" s="4"/>
      <c r="H2" s="4"/>
      <c r="I2" s="4"/>
      <c r="J2" s="4"/>
      <c r="K2" s="4"/>
      <c r="L2" s="4" t="s">
        <v>83</v>
      </c>
      <c r="M2" s="4">
        <v>50.5</v>
      </c>
      <c r="N2" s="4"/>
      <c r="O2" s="5"/>
      <c r="P2" s="4"/>
    </row>
    <row r="3" spans="1:19">
      <c r="A3" t="s">
        <v>25</v>
      </c>
      <c r="D3" s="2"/>
      <c r="G3" s="4"/>
      <c r="H3" s="4"/>
      <c r="I3" s="4"/>
      <c r="J3" s="4"/>
      <c r="K3" s="4"/>
      <c r="L3" s="4" t="s">
        <v>83</v>
      </c>
      <c r="M3" s="4">
        <v>50.5</v>
      </c>
      <c r="O3" s="5"/>
    </row>
    <row r="4" spans="1:19">
      <c r="A4" t="s">
        <v>26</v>
      </c>
      <c r="D4" s="2"/>
      <c r="E4" t="s">
        <v>41</v>
      </c>
      <c r="F4" t="s">
        <v>161</v>
      </c>
      <c r="G4" s="4">
        <v>100</v>
      </c>
      <c r="H4" s="4">
        <v>1</v>
      </c>
      <c r="I4" s="4">
        <v>500</v>
      </c>
      <c r="J4" s="4">
        <v>10</v>
      </c>
      <c r="K4" s="4">
        <f t="shared" ref="K4:K35" si="0">I4+J4</f>
        <v>510</v>
      </c>
      <c r="L4" s="4" t="s">
        <v>83</v>
      </c>
      <c r="M4" s="4">
        <v>50.5</v>
      </c>
      <c r="N4">
        <v>3206</v>
      </c>
      <c r="O4" s="5">
        <f t="shared" ref="O4:O35" si="1">((((N4)/((M4*H4)/1000))*G4)*(K4/I4))/100000</f>
        <v>64.754851485148507</v>
      </c>
      <c r="P4" t="s">
        <v>161</v>
      </c>
    </row>
    <row r="5" spans="1:19">
      <c r="A5" t="s">
        <v>27</v>
      </c>
      <c r="D5" s="2"/>
      <c r="E5" t="s">
        <v>42</v>
      </c>
      <c r="F5" t="s">
        <v>163</v>
      </c>
      <c r="G5" s="4">
        <v>100</v>
      </c>
      <c r="H5" s="4">
        <v>1</v>
      </c>
      <c r="I5" s="4">
        <v>500</v>
      </c>
      <c r="J5" s="4">
        <v>10</v>
      </c>
      <c r="K5" s="4">
        <f t="shared" si="0"/>
        <v>510</v>
      </c>
      <c r="L5" s="4" t="s">
        <v>83</v>
      </c>
      <c r="M5" s="4">
        <v>50.5</v>
      </c>
      <c r="N5">
        <v>2600</v>
      </c>
      <c r="O5" s="5">
        <f t="shared" si="1"/>
        <v>52.514851485148512</v>
      </c>
      <c r="P5" t="s">
        <v>163</v>
      </c>
      <c r="S5" t="s">
        <v>442</v>
      </c>
    </row>
    <row r="6" spans="1:19">
      <c r="A6" t="s">
        <v>28</v>
      </c>
      <c r="D6" s="2"/>
      <c r="E6" t="s">
        <v>43</v>
      </c>
      <c r="F6" t="s">
        <v>165</v>
      </c>
      <c r="G6" s="4">
        <v>10</v>
      </c>
      <c r="H6" s="4">
        <v>1</v>
      </c>
      <c r="I6" s="4">
        <v>500</v>
      </c>
      <c r="J6" s="4">
        <v>10</v>
      </c>
      <c r="K6" s="4">
        <f t="shared" si="0"/>
        <v>510</v>
      </c>
      <c r="L6" s="4" t="s">
        <v>83</v>
      </c>
      <c r="M6" s="4">
        <v>50.5</v>
      </c>
      <c r="N6">
        <v>14287</v>
      </c>
      <c r="O6" s="5">
        <f t="shared" si="1"/>
        <v>28.856910891089104</v>
      </c>
      <c r="P6" t="s">
        <v>165</v>
      </c>
      <c r="S6" t="s">
        <v>443</v>
      </c>
    </row>
    <row r="7" spans="1:19">
      <c r="A7" t="s">
        <v>29</v>
      </c>
      <c r="D7" s="2"/>
      <c r="E7" t="s">
        <v>44</v>
      </c>
      <c r="F7" t="s">
        <v>167</v>
      </c>
      <c r="G7" s="4">
        <v>10</v>
      </c>
      <c r="H7" s="4">
        <v>1</v>
      </c>
      <c r="I7" s="4">
        <v>500</v>
      </c>
      <c r="J7" s="4">
        <v>10</v>
      </c>
      <c r="K7" s="4">
        <f t="shared" si="0"/>
        <v>510</v>
      </c>
      <c r="L7" s="4" t="s">
        <v>83</v>
      </c>
      <c r="M7" s="4">
        <v>50.5</v>
      </c>
      <c r="N7">
        <v>13460</v>
      </c>
      <c r="O7" s="5">
        <f t="shared" si="1"/>
        <v>27.186534653465344</v>
      </c>
      <c r="P7" t="s">
        <v>167</v>
      </c>
      <c r="S7" t="s">
        <v>444</v>
      </c>
    </row>
    <row r="8" spans="1:19">
      <c r="A8" t="s">
        <v>30</v>
      </c>
      <c r="D8" s="2"/>
      <c r="E8" t="s">
        <v>45</v>
      </c>
      <c r="F8" t="s">
        <v>169</v>
      </c>
      <c r="G8" s="4">
        <v>100</v>
      </c>
      <c r="H8" s="4">
        <v>1</v>
      </c>
      <c r="I8" s="4">
        <v>500</v>
      </c>
      <c r="J8" s="4">
        <v>10</v>
      </c>
      <c r="K8" s="4">
        <f t="shared" si="0"/>
        <v>510</v>
      </c>
      <c r="L8" s="4" t="s">
        <v>83</v>
      </c>
      <c r="M8" s="4">
        <v>50.5</v>
      </c>
      <c r="N8">
        <v>2689</v>
      </c>
      <c r="O8" s="5">
        <f t="shared" si="1"/>
        <v>54.312475247524745</v>
      </c>
      <c r="P8" t="s">
        <v>169</v>
      </c>
    </row>
    <row r="9" spans="1:19">
      <c r="A9" t="s">
        <v>31</v>
      </c>
      <c r="D9" s="2"/>
      <c r="E9" t="s">
        <v>46</v>
      </c>
      <c r="F9" t="s">
        <v>171</v>
      </c>
      <c r="G9" s="4">
        <v>100</v>
      </c>
      <c r="H9" s="4">
        <v>1</v>
      </c>
      <c r="I9" s="4">
        <v>500</v>
      </c>
      <c r="J9" s="4">
        <v>10</v>
      </c>
      <c r="K9" s="4">
        <f t="shared" si="0"/>
        <v>510</v>
      </c>
      <c r="L9" s="4" t="s">
        <v>83</v>
      </c>
      <c r="M9" s="4">
        <v>50.5</v>
      </c>
      <c r="N9">
        <v>2683</v>
      </c>
      <c r="O9" s="5">
        <f t="shared" si="1"/>
        <v>54.191287128712872</v>
      </c>
      <c r="P9" t="s">
        <v>171</v>
      </c>
    </row>
    <row r="10" spans="1:19">
      <c r="A10" t="s">
        <v>32</v>
      </c>
      <c r="D10" s="2"/>
      <c r="E10" t="s">
        <v>47</v>
      </c>
      <c r="F10" t="s">
        <v>173</v>
      </c>
      <c r="G10" s="4">
        <v>10</v>
      </c>
      <c r="H10" s="4">
        <v>1</v>
      </c>
      <c r="I10" s="4">
        <v>500</v>
      </c>
      <c r="J10" s="4">
        <v>10</v>
      </c>
      <c r="K10" s="4">
        <f t="shared" si="0"/>
        <v>510</v>
      </c>
      <c r="L10" s="4" t="s">
        <v>83</v>
      </c>
      <c r="M10" s="4">
        <v>50.5</v>
      </c>
      <c r="N10">
        <v>14179</v>
      </c>
      <c r="O10" s="5">
        <f t="shared" si="1"/>
        <v>28.638772277227723</v>
      </c>
      <c r="P10" t="s">
        <v>173</v>
      </c>
    </row>
    <row r="11" spans="1:19">
      <c r="A11" t="s">
        <v>33</v>
      </c>
      <c r="D11" s="2"/>
      <c r="E11" t="s">
        <v>48</v>
      </c>
      <c r="F11" t="s">
        <v>175</v>
      </c>
      <c r="G11" s="4">
        <v>10</v>
      </c>
      <c r="H11" s="4">
        <v>1</v>
      </c>
      <c r="I11" s="4">
        <v>500</v>
      </c>
      <c r="J11" s="4">
        <v>10</v>
      </c>
      <c r="K11" s="4">
        <f t="shared" si="0"/>
        <v>510</v>
      </c>
      <c r="L11" s="4" t="s">
        <v>83</v>
      </c>
      <c r="M11" s="4">
        <v>50.5</v>
      </c>
      <c r="N11">
        <v>13930</v>
      </c>
      <c r="O11" s="5">
        <f t="shared" si="1"/>
        <v>28.13584158415842</v>
      </c>
      <c r="P11" t="s">
        <v>175</v>
      </c>
    </row>
    <row r="12" spans="1:19">
      <c r="A12" t="s">
        <v>34</v>
      </c>
      <c r="D12" s="2"/>
      <c r="E12" t="s">
        <v>49</v>
      </c>
      <c r="F12" t="s">
        <v>301</v>
      </c>
      <c r="G12" s="4">
        <v>10</v>
      </c>
      <c r="H12" s="4">
        <v>1</v>
      </c>
      <c r="I12" s="4">
        <v>500</v>
      </c>
      <c r="J12" s="4">
        <v>10</v>
      </c>
      <c r="K12" s="4">
        <f t="shared" si="0"/>
        <v>510</v>
      </c>
      <c r="L12" s="4" t="s">
        <v>83</v>
      </c>
      <c r="M12" s="4">
        <v>50.5</v>
      </c>
      <c r="N12">
        <v>2512</v>
      </c>
      <c r="O12" s="5">
        <f t="shared" si="1"/>
        <v>5.0737425742574249</v>
      </c>
      <c r="P12" t="s">
        <v>301</v>
      </c>
    </row>
    <row r="13" spans="1:19">
      <c r="A13" t="s">
        <v>35</v>
      </c>
      <c r="D13" s="2"/>
      <c r="E13" t="s">
        <v>50</v>
      </c>
      <c r="F13" t="s">
        <v>353</v>
      </c>
      <c r="G13" s="4">
        <v>10</v>
      </c>
      <c r="H13" s="4">
        <v>1</v>
      </c>
      <c r="I13" s="4">
        <v>500</v>
      </c>
      <c r="J13" s="4">
        <v>10</v>
      </c>
      <c r="K13" s="4">
        <f t="shared" si="0"/>
        <v>510</v>
      </c>
      <c r="L13" s="4" t="s">
        <v>83</v>
      </c>
      <c r="M13" s="4">
        <v>50.5</v>
      </c>
      <c r="N13">
        <v>2471</v>
      </c>
      <c r="O13" s="5">
        <f t="shared" si="1"/>
        <v>4.9909306930693074</v>
      </c>
      <c r="P13" t="s">
        <v>353</v>
      </c>
    </row>
    <row r="14" spans="1:19">
      <c r="A14" t="s">
        <v>36</v>
      </c>
      <c r="D14" s="2"/>
      <c r="E14" t="s">
        <v>51</v>
      </c>
      <c r="F14" t="s">
        <v>302</v>
      </c>
      <c r="G14" s="4">
        <v>10</v>
      </c>
      <c r="H14" s="4">
        <v>1</v>
      </c>
      <c r="I14" s="4">
        <v>500</v>
      </c>
      <c r="J14" s="4">
        <v>10</v>
      </c>
      <c r="K14" s="4">
        <f t="shared" si="0"/>
        <v>510</v>
      </c>
      <c r="L14" s="4" t="s">
        <v>83</v>
      </c>
      <c r="M14" s="4">
        <v>50.5</v>
      </c>
      <c r="N14">
        <v>7761</v>
      </c>
      <c r="O14" s="5">
        <f t="shared" si="1"/>
        <v>15.67568316831683</v>
      </c>
      <c r="P14" t="s">
        <v>302</v>
      </c>
    </row>
    <row r="15" spans="1:19">
      <c r="A15" t="s">
        <v>37</v>
      </c>
      <c r="D15" s="2"/>
      <c r="E15" t="s">
        <v>52</v>
      </c>
      <c r="F15" t="s">
        <v>303</v>
      </c>
      <c r="G15" s="4">
        <v>10</v>
      </c>
      <c r="H15" s="4">
        <v>1</v>
      </c>
      <c r="I15" s="4">
        <v>500</v>
      </c>
      <c r="J15" s="4">
        <v>10</v>
      </c>
      <c r="K15" s="4">
        <f t="shared" si="0"/>
        <v>510</v>
      </c>
      <c r="L15" s="4" t="s">
        <v>83</v>
      </c>
      <c r="M15" s="4">
        <v>50.5</v>
      </c>
      <c r="N15">
        <v>7616</v>
      </c>
      <c r="O15" s="5">
        <f t="shared" si="1"/>
        <v>15.38281188118812</v>
      </c>
      <c r="P15" t="s">
        <v>303</v>
      </c>
    </row>
    <row r="16" spans="1:19">
      <c r="A16" t="s">
        <v>38</v>
      </c>
      <c r="D16" s="2"/>
      <c r="E16" t="s">
        <v>53</v>
      </c>
      <c r="F16" t="s">
        <v>161</v>
      </c>
      <c r="G16" s="4">
        <v>10</v>
      </c>
      <c r="H16" s="4">
        <v>1</v>
      </c>
      <c r="I16" s="4">
        <v>500</v>
      </c>
      <c r="J16" s="4">
        <v>10</v>
      </c>
      <c r="K16" s="4">
        <f t="shared" si="0"/>
        <v>510</v>
      </c>
      <c r="L16" s="4" t="s">
        <v>83</v>
      </c>
      <c r="M16" s="4">
        <v>50.5</v>
      </c>
      <c r="N16">
        <v>29329</v>
      </c>
      <c r="O16" s="5">
        <f t="shared" si="1"/>
        <v>59.238772277227717</v>
      </c>
      <c r="P16" t="s">
        <v>161</v>
      </c>
    </row>
    <row r="17" spans="1:63">
      <c r="A17" t="s">
        <v>39</v>
      </c>
      <c r="D17" s="2"/>
      <c r="E17" t="s">
        <v>54</v>
      </c>
      <c r="F17" t="s">
        <v>163</v>
      </c>
      <c r="G17" s="4">
        <v>10</v>
      </c>
      <c r="H17" s="4">
        <v>1</v>
      </c>
      <c r="I17" s="4">
        <v>500</v>
      </c>
      <c r="J17" s="4">
        <v>10</v>
      </c>
      <c r="K17" s="4">
        <f t="shared" si="0"/>
        <v>510</v>
      </c>
      <c r="L17" s="4" t="s">
        <v>83</v>
      </c>
      <c r="M17" s="4">
        <v>50.5</v>
      </c>
      <c r="N17">
        <v>22155</v>
      </c>
      <c r="O17" s="5">
        <f t="shared" si="1"/>
        <v>44.748712871287132</v>
      </c>
      <c r="P17" t="s">
        <v>163</v>
      </c>
    </row>
    <row r="18" spans="1:63">
      <c r="A18" t="s">
        <v>40</v>
      </c>
      <c r="D18" s="2"/>
      <c r="E18" t="s">
        <v>55</v>
      </c>
      <c r="F18" t="s">
        <v>169</v>
      </c>
      <c r="G18" s="4">
        <v>10</v>
      </c>
      <c r="H18" s="4">
        <v>1</v>
      </c>
      <c r="I18" s="4">
        <v>500</v>
      </c>
      <c r="J18" s="4">
        <v>10</v>
      </c>
      <c r="K18" s="4">
        <f t="shared" si="0"/>
        <v>510</v>
      </c>
      <c r="L18" s="4" t="s">
        <v>83</v>
      </c>
      <c r="M18" s="4">
        <v>50.5</v>
      </c>
      <c r="N18">
        <v>23105</v>
      </c>
      <c r="O18" s="5">
        <f t="shared" si="1"/>
        <v>46.667524752475245</v>
      </c>
      <c r="P18" t="s">
        <v>169</v>
      </c>
    </row>
    <row r="19" spans="1:63">
      <c r="A19" t="s">
        <v>41</v>
      </c>
      <c r="D19" s="2"/>
      <c r="E19" t="s">
        <v>56</v>
      </c>
      <c r="F19" t="s">
        <v>171</v>
      </c>
      <c r="G19" s="4">
        <v>10</v>
      </c>
      <c r="H19" s="4">
        <v>1</v>
      </c>
      <c r="I19" s="4">
        <v>500</v>
      </c>
      <c r="J19" s="4">
        <v>10</v>
      </c>
      <c r="K19" s="4">
        <f t="shared" si="0"/>
        <v>510</v>
      </c>
      <c r="L19" s="4" t="s">
        <v>83</v>
      </c>
      <c r="M19" s="4">
        <v>50.5</v>
      </c>
      <c r="N19">
        <v>23969</v>
      </c>
      <c r="O19" s="5">
        <f t="shared" si="1"/>
        <v>48.412633663366336</v>
      </c>
      <c r="P19" t="s">
        <v>171</v>
      </c>
    </row>
    <row r="20" spans="1:63">
      <c r="A20" t="s">
        <v>42</v>
      </c>
      <c r="D20" s="2"/>
      <c r="E20" t="s">
        <v>57</v>
      </c>
      <c r="F20" t="s">
        <v>302</v>
      </c>
      <c r="G20" s="4">
        <v>100</v>
      </c>
      <c r="H20" s="4">
        <v>1</v>
      </c>
      <c r="I20" s="4">
        <v>500</v>
      </c>
      <c r="J20" s="4">
        <v>10</v>
      </c>
      <c r="K20" s="4">
        <f t="shared" si="0"/>
        <v>510</v>
      </c>
      <c r="L20" s="4" t="s">
        <v>83</v>
      </c>
      <c r="M20" s="4">
        <v>50.5</v>
      </c>
      <c r="N20">
        <v>779</v>
      </c>
      <c r="O20" s="5">
        <f t="shared" si="1"/>
        <v>15.734257425742573</v>
      </c>
      <c r="P20" t="s">
        <v>302</v>
      </c>
      <c r="R20" t="s">
        <v>354</v>
      </c>
      <c r="Z20" t="s">
        <v>355</v>
      </c>
      <c r="AH20" t="s">
        <v>356</v>
      </c>
    </row>
    <row r="21" spans="1:63">
      <c r="A21" t="s">
        <v>43</v>
      </c>
      <c r="D21" s="2"/>
      <c r="E21" t="s">
        <v>58</v>
      </c>
      <c r="F21" t="s">
        <v>303</v>
      </c>
      <c r="G21" s="4">
        <v>100</v>
      </c>
      <c r="H21" s="4">
        <v>1</v>
      </c>
      <c r="I21" s="4">
        <v>500</v>
      </c>
      <c r="J21" s="4">
        <v>10</v>
      </c>
      <c r="K21" s="4">
        <f t="shared" si="0"/>
        <v>510</v>
      </c>
      <c r="L21" s="4" t="s">
        <v>83</v>
      </c>
      <c r="M21" s="4">
        <v>50.5</v>
      </c>
      <c r="N21">
        <v>810</v>
      </c>
      <c r="O21" s="5">
        <f t="shared" si="1"/>
        <v>16.360396039603959</v>
      </c>
      <c r="P21" t="s">
        <v>303</v>
      </c>
      <c r="S21">
        <v>0</v>
      </c>
      <c r="T21">
        <v>1</v>
      </c>
      <c r="U21">
        <v>2</v>
      </c>
      <c r="V21">
        <v>3</v>
      </c>
      <c r="W21">
        <v>4</v>
      </c>
      <c r="X21">
        <v>5</v>
      </c>
      <c r="AA21">
        <v>0</v>
      </c>
      <c r="AB21">
        <v>1</v>
      </c>
      <c r="AC21">
        <v>2</v>
      </c>
      <c r="AD21">
        <v>3</v>
      </c>
      <c r="AE21">
        <v>4</v>
      </c>
      <c r="AF21">
        <v>5</v>
      </c>
      <c r="AH21" t="s">
        <v>512</v>
      </c>
      <c r="AI21">
        <f>AA21</f>
        <v>0</v>
      </c>
      <c r="AJ21">
        <f t="shared" ref="AJ21:AN21" si="2">AB21</f>
        <v>1</v>
      </c>
      <c r="AK21">
        <f t="shared" si="2"/>
        <v>2</v>
      </c>
      <c r="AL21">
        <f t="shared" si="2"/>
        <v>3</v>
      </c>
      <c r="AM21">
        <f t="shared" si="2"/>
        <v>4</v>
      </c>
      <c r="AN21">
        <f t="shared" si="2"/>
        <v>5</v>
      </c>
      <c r="AO21" s="6" t="s">
        <v>270</v>
      </c>
      <c r="AP21" t="s">
        <v>420</v>
      </c>
      <c r="AQ21" t="s">
        <v>421</v>
      </c>
      <c r="AR21" t="s">
        <v>422</v>
      </c>
      <c r="AS21" t="s">
        <v>423</v>
      </c>
      <c r="AW21" t="s">
        <v>425</v>
      </c>
      <c r="AX21" t="s">
        <v>421</v>
      </c>
      <c r="AY21" t="s">
        <v>422</v>
      </c>
      <c r="AZ21" t="s">
        <v>423</v>
      </c>
    </row>
    <row r="22" spans="1:63">
      <c r="A22" t="s">
        <v>44</v>
      </c>
      <c r="D22" s="2"/>
      <c r="E22" t="s">
        <v>304</v>
      </c>
      <c r="F22" t="s">
        <v>177</v>
      </c>
      <c r="G22" s="4">
        <v>100</v>
      </c>
      <c r="H22" s="4">
        <v>1</v>
      </c>
      <c r="I22" s="4">
        <v>500</v>
      </c>
      <c r="J22" s="4">
        <v>10</v>
      </c>
      <c r="K22" s="4">
        <f t="shared" si="0"/>
        <v>510</v>
      </c>
      <c r="L22" s="4" t="s">
        <v>83</v>
      </c>
      <c r="M22" s="4">
        <v>50.5</v>
      </c>
      <c r="N22">
        <v>4151</v>
      </c>
      <c r="O22" s="5">
        <f t="shared" si="1"/>
        <v>83.841980198019797</v>
      </c>
      <c r="P22" t="s">
        <v>177</v>
      </c>
      <c r="R22" t="s">
        <v>1</v>
      </c>
      <c r="S22" s="6">
        <f>O144</f>
        <v>20.63490909090909</v>
      </c>
      <c r="T22" s="6">
        <f>O4</f>
        <v>64.754851485148507</v>
      </c>
      <c r="U22" s="6">
        <f>O22</f>
        <v>83.841980198019797</v>
      </c>
      <c r="V22" s="6">
        <f>O108</f>
        <v>110.84</v>
      </c>
      <c r="W22" s="6">
        <f>O41</f>
        <v>119.47128712871285</v>
      </c>
      <c r="X22" s="6">
        <f>O126</f>
        <v>138.9878787878788</v>
      </c>
      <c r="Z22" t="str">
        <f t="shared" ref="Z22:Z33" si="3">R22</f>
        <v>1a</v>
      </c>
      <c r="AA22" s="6">
        <f>O186</f>
        <v>3.1434343434343432</v>
      </c>
      <c r="AB22" s="6">
        <f>O60</f>
        <v>6.9564356435643555</v>
      </c>
      <c r="AC22" s="6">
        <f>O78</f>
        <v>16.300990099009898</v>
      </c>
      <c r="AD22" s="6">
        <f>O162</f>
        <v>9.5959595959595969</v>
      </c>
      <c r="AE22" s="6">
        <f>O90</f>
        <v>10.984158415841584</v>
      </c>
      <c r="AF22" s="6">
        <f>O174</f>
        <v>1.5979797979797978</v>
      </c>
      <c r="AH22" t="str">
        <f>Z22</f>
        <v>1a</v>
      </c>
      <c r="AI22" s="6">
        <f>S22-AA22</f>
        <v>17.491474747474747</v>
      </c>
      <c r="AJ22" s="6">
        <f t="shared" ref="AJ22:AN22" si="4">T22-AB22</f>
        <v>57.798415841584152</v>
      </c>
      <c r="AK22" s="6">
        <f t="shared" si="4"/>
        <v>67.540990099009903</v>
      </c>
      <c r="AL22" s="6">
        <f t="shared" si="4"/>
        <v>101.2440404040404</v>
      </c>
      <c r="AM22" s="6">
        <f t="shared" si="4"/>
        <v>108.48712871287125</v>
      </c>
      <c r="AN22" s="6">
        <f t="shared" si="4"/>
        <v>137.389898989899</v>
      </c>
      <c r="AO22" s="6">
        <f>AN22-AI22</f>
        <v>119.89842424242426</v>
      </c>
      <c r="AP22" s="6" t="str">
        <f t="shared" ref="AP22:AP27" si="5">AH43</f>
        <v>Syn+Bac+lysate</v>
      </c>
      <c r="AQ22" s="6">
        <f>AN22</f>
        <v>137.389898989899</v>
      </c>
      <c r="AR22" s="6">
        <f>AN23</f>
        <v>134.36242424242425</v>
      </c>
      <c r="AS22" s="6">
        <f>AN24</f>
        <v>137.08161616161615</v>
      </c>
      <c r="AW22" s="6" t="str">
        <f t="shared" ref="AW22:AW27" si="6">AP22</f>
        <v>Syn+Bac+lysate</v>
      </c>
      <c r="AX22" s="6">
        <f>AI22</f>
        <v>17.491474747474747</v>
      </c>
      <c r="AY22" s="6">
        <f>AI23</f>
        <v>18.559111111111108</v>
      </c>
      <c r="AZ22" s="6">
        <f>AI24</f>
        <v>19.08848484848485</v>
      </c>
    </row>
    <row r="23" spans="1:63">
      <c r="A23" t="s">
        <v>45</v>
      </c>
      <c r="D23" s="2"/>
      <c r="E23" t="s">
        <v>305</v>
      </c>
      <c r="F23" t="s">
        <v>179</v>
      </c>
      <c r="G23" s="4">
        <v>100</v>
      </c>
      <c r="H23" s="4">
        <v>1</v>
      </c>
      <c r="I23" s="4">
        <v>500</v>
      </c>
      <c r="J23" s="4">
        <v>10</v>
      </c>
      <c r="K23" s="4">
        <f t="shared" si="0"/>
        <v>510</v>
      </c>
      <c r="L23" s="4" t="s">
        <v>83</v>
      </c>
      <c r="M23" s="4">
        <v>50.5</v>
      </c>
      <c r="N23">
        <v>4504</v>
      </c>
      <c r="O23" s="5">
        <f t="shared" si="1"/>
        <v>90.971881188118815</v>
      </c>
      <c r="P23" t="s">
        <v>179</v>
      </c>
      <c r="R23" t="s">
        <v>2</v>
      </c>
      <c r="S23" s="6">
        <f t="shared" ref="S23:S39" si="7">O145</f>
        <v>20.478303030303028</v>
      </c>
      <c r="T23" s="6"/>
      <c r="U23" s="6">
        <f>O23</f>
        <v>90.971881188118815</v>
      </c>
      <c r="V23" s="6">
        <f t="shared" ref="V23:V39" si="8">O109</f>
        <v>96.250909090909076</v>
      </c>
      <c r="W23" s="6">
        <f t="shared" ref="W23:W39" si="9">O42</f>
        <v>115.67405940594058</v>
      </c>
      <c r="X23" s="6">
        <f t="shared" ref="X23:X39" si="10">O127</f>
        <v>136.24727272727273</v>
      </c>
      <c r="Z23" t="str">
        <f t="shared" si="3"/>
        <v>1b</v>
      </c>
      <c r="AA23" s="6">
        <f t="shared" ref="AA23:AA33" si="11">O187</f>
        <v>1.9191919191919191</v>
      </c>
      <c r="AC23" s="6">
        <f t="shared" ref="AC23:AC33" si="12">O79</f>
        <v>2.4059405940594059</v>
      </c>
      <c r="AD23" s="6">
        <f t="shared" ref="AD23:AD33" si="13">O163</f>
        <v>3.8989898989898992</v>
      </c>
      <c r="AE23" s="6">
        <f t="shared" ref="AE23:AE33" si="14">O91</f>
        <v>4.9742574257425733</v>
      </c>
      <c r="AF23" s="6">
        <f t="shared" ref="AF23:AF33" si="15">O175</f>
        <v>1.8848484848484848</v>
      </c>
      <c r="AH23" t="str">
        <f t="shared" ref="AH23:AH33" si="16">Z23</f>
        <v>1b</v>
      </c>
      <c r="AI23" s="6">
        <f t="shared" ref="AI23:AI39" si="17">S23-AA23</f>
        <v>18.559111111111108</v>
      </c>
      <c r="AJ23" s="6">
        <f t="shared" ref="AJ23:AJ39" si="18">T23-AB23</f>
        <v>0</v>
      </c>
      <c r="AK23" s="6">
        <f t="shared" ref="AK23:AK39" si="19">U23-AC23</f>
        <v>88.565940594059413</v>
      </c>
      <c r="AL23" s="6">
        <f t="shared" ref="AL23:AL39" si="20">V23-AD23</f>
        <v>92.35191919191918</v>
      </c>
      <c r="AM23" s="6">
        <f t="shared" ref="AM23:AM39" si="21">W23-AE23</f>
        <v>110.699801980198</v>
      </c>
      <c r="AN23" s="6">
        <f t="shared" ref="AN23:AN39" si="22">X23-AF23</f>
        <v>134.36242424242425</v>
      </c>
      <c r="AO23" s="6">
        <f t="shared" ref="AO23:AO36" si="23">AN23-AI23</f>
        <v>115.80331313131315</v>
      </c>
      <c r="AP23" s="6" t="str">
        <f t="shared" si="5"/>
        <v>Syn+Bac</v>
      </c>
      <c r="AQ23" s="6">
        <f>AN25</f>
        <v>62.45919191919193</v>
      </c>
      <c r="AR23" s="6">
        <f>AN26</f>
        <v>64.038303030303055</v>
      </c>
      <c r="AS23" s="6">
        <f>AN27</f>
        <v>64.132525252525241</v>
      </c>
      <c r="AW23" s="6" t="str">
        <f t="shared" si="6"/>
        <v>Syn+Bac</v>
      </c>
      <c r="AX23" s="6">
        <f>AI25</f>
        <v>19.658545454545454</v>
      </c>
      <c r="AY23" s="6">
        <f>AI26</f>
        <v>20.027313131313132</v>
      </c>
      <c r="AZ23" s="6">
        <f>AI27</f>
        <v>20.033090909090905</v>
      </c>
    </row>
    <row r="24" spans="1:63">
      <c r="A24" t="s">
        <v>46</v>
      </c>
      <c r="D24" s="2"/>
      <c r="E24" t="s">
        <v>306</v>
      </c>
      <c r="F24" t="s">
        <v>181</v>
      </c>
      <c r="G24" s="4">
        <v>100</v>
      </c>
      <c r="H24" s="4">
        <v>1</v>
      </c>
      <c r="I24" s="4">
        <v>500</v>
      </c>
      <c r="J24" s="4">
        <v>10</v>
      </c>
      <c r="K24" s="4">
        <f t="shared" si="0"/>
        <v>510</v>
      </c>
      <c r="L24" s="4" t="s">
        <v>83</v>
      </c>
      <c r="M24" s="4">
        <v>50.5</v>
      </c>
      <c r="N24">
        <v>4090</v>
      </c>
      <c r="O24" s="5">
        <f t="shared" si="1"/>
        <v>82.609900990098993</v>
      </c>
      <c r="P24" t="s">
        <v>181</v>
      </c>
      <c r="R24" t="s">
        <v>3</v>
      </c>
      <c r="S24" s="6">
        <f t="shared" si="7"/>
        <v>20.379393939393939</v>
      </c>
      <c r="T24" s="6">
        <f>O5</f>
        <v>52.514851485148512</v>
      </c>
      <c r="U24" s="6">
        <f>O24</f>
        <v>82.609900990098993</v>
      </c>
      <c r="V24" s="6">
        <f t="shared" si="8"/>
        <v>105.79151515151516</v>
      </c>
      <c r="W24" s="6">
        <f t="shared" si="9"/>
        <v>126.54059405940595</v>
      </c>
      <c r="X24" s="6">
        <f t="shared" si="10"/>
        <v>138.10181818181817</v>
      </c>
      <c r="Z24" t="str">
        <f t="shared" si="3"/>
        <v>1c</v>
      </c>
      <c r="AA24" s="6">
        <f t="shared" si="11"/>
        <v>1.2909090909090908</v>
      </c>
      <c r="AB24" s="6">
        <f>O61</f>
        <v>0.70297029702970293</v>
      </c>
      <c r="AC24" s="6">
        <f t="shared" si="12"/>
        <v>1.7227722772277225</v>
      </c>
      <c r="AD24" s="6">
        <f t="shared" si="13"/>
        <v>2.6727272727272724</v>
      </c>
      <c r="AE24" s="6">
        <f t="shared" si="14"/>
        <v>3.2594059405940592</v>
      </c>
      <c r="AF24" s="6">
        <f t="shared" si="15"/>
        <v>1.0202020202020201</v>
      </c>
      <c r="AH24" t="str">
        <f t="shared" si="16"/>
        <v>1c</v>
      </c>
      <c r="AI24" s="6">
        <f t="shared" si="17"/>
        <v>19.08848484848485</v>
      </c>
      <c r="AJ24" s="6">
        <f t="shared" si="18"/>
        <v>51.811881188118811</v>
      </c>
      <c r="AK24" s="6">
        <f t="shared" si="19"/>
        <v>80.887128712871274</v>
      </c>
      <c r="AL24" s="6">
        <f t="shared" si="20"/>
        <v>103.11878787878788</v>
      </c>
      <c r="AM24" s="6">
        <f t="shared" si="21"/>
        <v>123.28118811881188</v>
      </c>
      <c r="AN24" s="6">
        <f t="shared" si="22"/>
        <v>137.08161616161615</v>
      </c>
      <c r="AO24" s="6">
        <f t="shared" si="23"/>
        <v>117.9931313131313</v>
      </c>
      <c r="AP24" s="6" t="str">
        <f t="shared" si="5"/>
        <v>Syn+lysate</v>
      </c>
      <c r="AQ24" s="6">
        <f>AN28</f>
        <v>103.92646464646465</v>
      </c>
      <c r="AR24" s="6">
        <f>AN29</f>
        <v>104.15353535353533</v>
      </c>
      <c r="AS24" s="6">
        <f>AN30</f>
        <v>98.824242424242442</v>
      </c>
      <c r="AW24" s="6" t="str">
        <f t="shared" si="6"/>
        <v>Syn+lysate</v>
      </c>
      <c r="AX24" s="6">
        <f>AI28</f>
        <v>16.025373737373737</v>
      </c>
      <c r="AY24" s="6">
        <f>AI29</f>
        <v>15.940686868686864</v>
      </c>
      <c r="AZ24" s="6">
        <f>AI30</f>
        <v>16.852</v>
      </c>
    </row>
    <row r="25" spans="1:63">
      <c r="A25" t="s">
        <v>47</v>
      </c>
      <c r="D25" s="2"/>
      <c r="E25" t="s">
        <v>307</v>
      </c>
      <c r="F25" t="s">
        <v>183</v>
      </c>
      <c r="G25" s="4">
        <v>10</v>
      </c>
      <c r="H25" s="4">
        <v>1</v>
      </c>
      <c r="I25" s="4">
        <v>500</v>
      </c>
      <c r="J25" s="4">
        <v>10</v>
      </c>
      <c r="K25" s="4">
        <f t="shared" si="0"/>
        <v>510</v>
      </c>
      <c r="L25" s="4" t="s">
        <v>83</v>
      </c>
      <c r="M25" s="4">
        <v>50.5</v>
      </c>
      <c r="N25">
        <v>18369</v>
      </c>
      <c r="O25" s="5">
        <f t="shared" si="1"/>
        <v>37.101742574257429</v>
      </c>
      <c r="P25" t="s">
        <v>183</v>
      </c>
      <c r="R25" t="s">
        <v>6</v>
      </c>
      <c r="S25" s="6">
        <f t="shared" si="7"/>
        <v>20.603999999999999</v>
      </c>
      <c r="T25" s="6">
        <f>O6</f>
        <v>28.856910891089104</v>
      </c>
      <c r="U25" s="6">
        <f>O25</f>
        <v>37.101742574257429</v>
      </c>
      <c r="V25" s="6">
        <f t="shared" si="8"/>
        <v>60.250060606060607</v>
      </c>
      <c r="W25" s="6">
        <f t="shared" si="9"/>
        <v>64.22162376237624</v>
      </c>
      <c r="X25" s="6">
        <f t="shared" si="10"/>
        <v>62.982424242424251</v>
      </c>
      <c r="Z25" t="str">
        <f t="shared" si="3"/>
        <v>2a</v>
      </c>
      <c r="AA25" s="6">
        <f t="shared" si="11"/>
        <v>0.94545454545454544</v>
      </c>
      <c r="AB25" s="6">
        <f>O64</f>
        <v>1.9603960396039601</v>
      </c>
      <c r="AC25" s="6">
        <f t="shared" si="12"/>
        <v>0.57623762376237619</v>
      </c>
      <c r="AD25" s="6">
        <f t="shared" si="13"/>
        <v>1.3494949494949495</v>
      </c>
      <c r="AE25" s="6">
        <f t="shared" si="14"/>
        <v>1.6158415841584157</v>
      </c>
      <c r="AF25" s="6">
        <f t="shared" si="15"/>
        <v>0.52323232323232327</v>
      </c>
      <c r="AH25" t="str">
        <f t="shared" si="16"/>
        <v>2a</v>
      </c>
      <c r="AI25" s="6">
        <f t="shared" si="17"/>
        <v>19.658545454545454</v>
      </c>
      <c r="AJ25" s="6">
        <f t="shared" si="18"/>
        <v>26.896514851485144</v>
      </c>
      <c r="AK25" s="6">
        <f t="shared" si="19"/>
        <v>36.525504950495055</v>
      </c>
      <c r="AL25" s="6">
        <f t="shared" si="20"/>
        <v>58.900565656565661</v>
      </c>
      <c r="AM25" s="6">
        <f t="shared" si="21"/>
        <v>62.605782178217822</v>
      </c>
      <c r="AN25" s="6">
        <f t="shared" si="22"/>
        <v>62.45919191919193</v>
      </c>
      <c r="AO25" s="6">
        <f t="shared" si="23"/>
        <v>42.800646464646476</v>
      </c>
      <c r="AP25" s="6" t="str">
        <f t="shared" si="5"/>
        <v>Syn</v>
      </c>
      <c r="AQ25" s="6">
        <f>AN31</f>
        <v>44.544121212121212</v>
      </c>
      <c r="AR25" s="6">
        <f>AN32</f>
        <v>35.560606060606055</v>
      </c>
      <c r="AS25" s="6">
        <f>AN33</f>
        <v>45.887838383838385</v>
      </c>
      <c r="AW25" s="6" t="str">
        <f t="shared" si="6"/>
        <v>Syn</v>
      </c>
      <c r="AX25" s="6">
        <f>AI31</f>
        <v>16.470020202020205</v>
      </c>
      <c r="AY25" s="6">
        <f>AI32</f>
        <v>16.499111111111112</v>
      </c>
      <c r="AZ25" s="6">
        <f>AI33</f>
        <v>16.710424242424242</v>
      </c>
    </row>
    <row r="26" spans="1:63">
      <c r="A26" t="s">
        <v>48</v>
      </c>
      <c r="D26" s="2"/>
      <c r="E26" t="s">
        <v>308</v>
      </c>
      <c r="F26" t="s">
        <v>309</v>
      </c>
      <c r="G26" s="4">
        <v>10</v>
      </c>
      <c r="H26" s="4">
        <v>1</v>
      </c>
      <c r="I26" s="4">
        <v>500</v>
      </c>
      <c r="J26" s="4">
        <v>10</v>
      </c>
      <c r="K26" s="4">
        <f t="shared" si="0"/>
        <v>510</v>
      </c>
      <c r="L26" s="4" t="s">
        <v>83</v>
      </c>
      <c r="M26" s="4">
        <v>50.5</v>
      </c>
      <c r="N26">
        <v>16321</v>
      </c>
      <c r="O26" s="5">
        <f t="shared" si="1"/>
        <v>32.965188118811881</v>
      </c>
      <c r="P26" t="s">
        <v>309</v>
      </c>
      <c r="R26" t="s">
        <v>10</v>
      </c>
      <c r="S26" s="6">
        <f t="shared" si="7"/>
        <v>20.659636363636366</v>
      </c>
      <c r="T26" s="6"/>
      <c r="U26" s="6">
        <f>O40</f>
        <v>41.339287128712876</v>
      </c>
      <c r="V26" s="6">
        <f t="shared" si="8"/>
        <v>59.405212121212116</v>
      </c>
      <c r="W26" s="6">
        <f t="shared" si="9"/>
        <v>68.937861386138607</v>
      </c>
      <c r="X26" s="6">
        <f t="shared" si="10"/>
        <v>64.3898181818182</v>
      </c>
      <c r="Z26" t="str">
        <f t="shared" si="3"/>
        <v>2b</v>
      </c>
      <c r="AA26" s="6">
        <f t="shared" si="11"/>
        <v>0.6323232323232324</v>
      </c>
      <c r="AC26" s="6">
        <f t="shared" si="12"/>
        <v>0.39405940594059402</v>
      </c>
      <c r="AD26" s="6">
        <f t="shared" si="13"/>
        <v>0.92727272727272725</v>
      </c>
      <c r="AE26" s="6">
        <f t="shared" si="14"/>
        <v>0.87524752475247514</v>
      </c>
      <c r="AF26" s="6">
        <f t="shared" si="15"/>
        <v>0.3515151515151515</v>
      </c>
      <c r="AH26" t="str">
        <f t="shared" si="16"/>
        <v>2b</v>
      </c>
      <c r="AI26" s="6">
        <f t="shared" si="17"/>
        <v>20.027313131313132</v>
      </c>
      <c r="AJ26" s="6">
        <f t="shared" si="18"/>
        <v>0</v>
      </c>
      <c r="AK26" s="6">
        <f t="shared" si="19"/>
        <v>40.94522772277228</v>
      </c>
      <c r="AL26" s="6">
        <f t="shared" si="20"/>
        <v>58.477939393939387</v>
      </c>
      <c r="AM26" s="6">
        <f t="shared" si="21"/>
        <v>68.062613861386126</v>
      </c>
      <c r="AN26" s="6">
        <f t="shared" si="22"/>
        <v>64.038303030303055</v>
      </c>
      <c r="AO26" s="6">
        <f t="shared" si="23"/>
        <v>44.010989898989919</v>
      </c>
      <c r="AP26" s="6" t="str">
        <f t="shared" si="5"/>
        <v>Bac</v>
      </c>
      <c r="AQ26" s="6">
        <f>AN34</f>
        <v>13.006545454545455</v>
      </c>
      <c r="AR26" s="6">
        <f>AN35</f>
        <v>10.404</v>
      </c>
      <c r="AS26" s="6">
        <f>AN36</f>
        <v>10.678060606060605</v>
      </c>
      <c r="AW26" s="6" t="str">
        <f t="shared" si="6"/>
        <v>Bac</v>
      </c>
      <c r="AX26" s="6">
        <f>AI34</f>
        <v>3.9666666666666668</v>
      </c>
      <c r="AY26" s="6">
        <f>AI35</f>
        <v>4.2448484848484842</v>
      </c>
      <c r="AZ26" s="6">
        <f>AI36</f>
        <v>4.327272727272728</v>
      </c>
    </row>
    <row r="27" spans="1:63">
      <c r="A27" t="s">
        <v>49</v>
      </c>
      <c r="D27" s="2"/>
      <c r="E27" t="s">
        <v>310</v>
      </c>
      <c r="F27" t="s">
        <v>185</v>
      </c>
      <c r="G27" s="4">
        <v>10</v>
      </c>
      <c r="H27" s="4">
        <v>1</v>
      </c>
      <c r="I27" s="4">
        <v>500</v>
      </c>
      <c r="J27" s="4">
        <v>10</v>
      </c>
      <c r="K27" s="4">
        <f t="shared" si="0"/>
        <v>510</v>
      </c>
      <c r="L27" s="4" t="s">
        <v>83</v>
      </c>
      <c r="M27" s="4">
        <v>50.5</v>
      </c>
      <c r="N27">
        <v>5964</v>
      </c>
      <c r="O27" s="5">
        <f t="shared" si="1"/>
        <v>12.04609900990099</v>
      </c>
      <c r="P27" t="s">
        <v>185</v>
      </c>
      <c r="R27" t="s">
        <v>23</v>
      </c>
      <c r="S27" s="6">
        <f t="shared" si="7"/>
        <v>20.645212121212118</v>
      </c>
      <c r="T27" s="6">
        <f>O7</f>
        <v>27.186534653465344</v>
      </c>
      <c r="U27" s="6">
        <f>O26</f>
        <v>32.965188118811881</v>
      </c>
      <c r="V27" s="6">
        <f t="shared" si="8"/>
        <v>44.127878787878778</v>
      </c>
      <c r="W27" s="6">
        <f t="shared" si="9"/>
        <v>59.384198019801964</v>
      </c>
      <c r="X27" s="6">
        <f t="shared" si="10"/>
        <v>64.352727272727265</v>
      </c>
      <c r="Z27" t="str">
        <f t="shared" si="3"/>
        <v>2c</v>
      </c>
      <c r="AA27" s="6">
        <f t="shared" si="11"/>
        <v>0.61212121212121207</v>
      </c>
      <c r="AB27" s="6">
        <f>O65</f>
        <v>0.10297029702970296</v>
      </c>
      <c r="AC27" s="6">
        <f t="shared" si="12"/>
        <v>0.27128712871287125</v>
      </c>
      <c r="AD27" s="6">
        <f t="shared" si="13"/>
        <v>0.7212121212121213</v>
      </c>
      <c r="AE27" s="6">
        <f t="shared" si="14"/>
        <v>0.42772277227722771</v>
      </c>
      <c r="AF27" s="6">
        <f t="shared" si="15"/>
        <v>0.22020202020202018</v>
      </c>
      <c r="AH27" t="str">
        <f t="shared" si="16"/>
        <v>2c</v>
      </c>
      <c r="AI27" s="6">
        <f t="shared" si="17"/>
        <v>20.033090909090905</v>
      </c>
      <c r="AJ27" s="6">
        <f t="shared" si="18"/>
        <v>27.083564356435641</v>
      </c>
      <c r="AK27" s="6">
        <f t="shared" si="19"/>
        <v>32.69390099009901</v>
      </c>
      <c r="AL27" s="6">
        <f t="shared" si="20"/>
        <v>43.406666666666659</v>
      </c>
      <c r="AM27" s="6">
        <f t="shared" si="21"/>
        <v>58.956475247524736</v>
      </c>
      <c r="AN27" s="6">
        <f t="shared" si="22"/>
        <v>64.132525252525241</v>
      </c>
      <c r="AO27" s="6">
        <f t="shared" si="23"/>
        <v>44.099434343434339</v>
      </c>
      <c r="AP27" s="6" t="str">
        <f t="shared" si="5"/>
        <v>Bac+lysate</v>
      </c>
      <c r="AQ27" s="6">
        <f>AN37</f>
        <v>129.11963636363637</v>
      </c>
      <c r="AR27" s="6">
        <f>AN38</f>
        <v>131.35951515151513</v>
      </c>
      <c r="AS27" s="6">
        <f>AN39</f>
        <v>134.29999999999998</v>
      </c>
      <c r="AW27" s="6" t="str">
        <f t="shared" si="6"/>
        <v>Bac+lysate</v>
      </c>
      <c r="AX27" s="6">
        <f>AI37</f>
        <v>4.2798787878787881</v>
      </c>
      <c r="AY27" s="6">
        <f>AI38</f>
        <v>4.2036363636363632</v>
      </c>
      <c r="AZ27" s="6">
        <f>AI39</f>
        <v>4.2633939393939393</v>
      </c>
    </row>
    <row r="28" spans="1:63">
      <c r="A28" t="s">
        <v>50</v>
      </c>
      <c r="D28" s="2"/>
      <c r="E28" t="s">
        <v>311</v>
      </c>
      <c r="F28" t="s">
        <v>187</v>
      </c>
      <c r="G28" s="4">
        <v>100</v>
      </c>
      <c r="H28" s="4">
        <v>1</v>
      </c>
      <c r="I28" s="4">
        <v>500</v>
      </c>
      <c r="J28" s="4">
        <v>10</v>
      </c>
      <c r="K28" s="4">
        <f t="shared" si="0"/>
        <v>510</v>
      </c>
      <c r="L28" s="4" t="s">
        <v>83</v>
      </c>
      <c r="M28" s="4">
        <v>50.5</v>
      </c>
      <c r="N28">
        <v>3528</v>
      </c>
      <c r="O28" s="5">
        <f t="shared" si="1"/>
        <v>71.258613861386138</v>
      </c>
      <c r="P28" t="s">
        <v>187</v>
      </c>
      <c r="R28" t="s">
        <v>7</v>
      </c>
      <c r="S28" s="6">
        <f t="shared" si="7"/>
        <v>16.542545454545454</v>
      </c>
      <c r="T28" s="6">
        <f>O8</f>
        <v>54.312475247524745</v>
      </c>
      <c r="U28" s="6">
        <f>O28</f>
        <v>71.258613861386138</v>
      </c>
      <c r="V28" s="6">
        <f t="shared" si="8"/>
        <v>84.876363636363635</v>
      </c>
      <c r="W28" s="6">
        <f t="shared" si="9"/>
        <v>94.607524752475243</v>
      </c>
      <c r="X28" s="6">
        <f t="shared" si="10"/>
        <v>104.84363636363636</v>
      </c>
      <c r="Z28" t="str">
        <f t="shared" si="3"/>
        <v>3a</v>
      </c>
      <c r="AA28" s="6">
        <f t="shared" si="11"/>
        <v>0.51717171717171717</v>
      </c>
      <c r="AB28" s="6">
        <f>O68</f>
        <v>1.5287128712871287</v>
      </c>
      <c r="AC28" s="6">
        <f t="shared" si="12"/>
        <v>0.40792079207920789</v>
      </c>
      <c r="AD28" s="6">
        <f t="shared" si="13"/>
        <v>0.78787878787878785</v>
      </c>
      <c r="AE28" s="6">
        <f t="shared" si="14"/>
        <v>0.62178217821782167</v>
      </c>
      <c r="AF28" s="6">
        <f t="shared" si="15"/>
        <v>0.91717171717171719</v>
      </c>
      <c r="AH28" t="str">
        <f t="shared" si="16"/>
        <v>3a</v>
      </c>
      <c r="AI28" s="6">
        <f t="shared" si="17"/>
        <v>16.025373737373737</v>
      </c>
      <c r="AJ28" s="6">
        <f t="shared" si="18"/>
        <v>52.783762376237618</v>
      </c>
      <c r="AK28" s="6">
        <f t="shared" si="19"/>
        <v>70.850693069306928</v>
      </c>
      <c r="AL28" s="6">
        <f t="shared" si="20"/>
        <v>84.088484848484853</v>
      </c>
      <c r="AM28" s="6">
        <f t="shared" si="21"/>
        <v>93.985742574257415</v>
      </c>
      <c r="AN28" s="6">
        <f t="shared" si="22"/>
        <v>103.92646464646465</v>
      </c>
      <c r="AO28" s="6">
        <f t="shared" si="23"/>
        <v>87.901090909090911</v>
      </c>
    </row>
    <row r="29" spans="1:63">
      <c r="A29" t="s">
        <v>51</v>
      </c>
      <c r="D29" s="2"/>
      <c r="E29" t="s">
        <v>312</v>
      </c>
      <c r="F29" t="s">
        <v>189</v>
      </c>
      <c r="G29" s="4">
        <v>100</v>
      </c>
      <c r="H29" s="4">
        <v>1</v>
      </c>
      <c r="I29" s="4">
        <v>500</v>
      </c>
      <c r="J29" s="4">
        <v>10</v>
      </c>
      <c r="K29" s="4">
        <f t="shared" si="0"/>
        <v>510</v>
      </c>
      <c r="L29" s="4" t="s">
        <v>83</v>
      </c>
      <c r="M29" s="4">
        <v>50.5</v>
      </c>
      <c r="N29">
        <v>3520</v>
      </c>
      <c r="O29" s="5">
        <f t="shared" si="1"/>
        <v>71.097029702970289</v>
      </c>
      <c r="P29" t="s">
        <v>189</v>
      </c>
      <c r="R29" t="s">
        <v>9</v>
      </c>
      <c r="S29" s="6">
        <f t="shared" si="7"/>
        <v>16.344727272727269</v>
      </c>
      <c r="T29" s="6"/>
      <c r="U29" s="6">
        <f t="shared" ref="U29:U39" si="24">O29</f>
        <v>71.097029702970289</v>
      </c>
      <c r="V29" s="6">
        <f t="shared" si="8"/>
        <v>88.873939393939395</v>
      </c>
      <c r="W29" s="6">
        <f t="shared" si="9"/>
        <v>103.1108910891089</v>
      </c>
      <c r="X29" s="6">
        <f t="shared" si="10"/>
        <v>104.78181818181817</v>
      </c>
      <c r="Z29" t="str">
        <f t="shared" si="3"/>
        <v>3b</v>
      </c>
      <c r="AA29" s="6">
        <f t="shared" si="11"/>
        <v>0.40404040404040403</v>
      </c>
      <c r="AC29" s="6">
        <f t="shared" si="12"/>
        <v>0.39405940594059402</v>
      </c>
      <c r="AD29" s="6">
        <f t="shared" si="13"/>
        <v>0.98383838383838373</v>
      </c>
      <c r="AE29" s="6">
        <f t="shared" si="14"/>
        <v>0.5643564356435643</v>
      </c>
      <c r="AF29" s="6">
        <f t="shared" si="15"/>
        <v>0.62828282828282822</v>
      </c>
      <c r="AH29" t="str">
        <f t="shared" si="16"/>
        <v>3b</v>
      </c>
      <c r="AI29" s="6">
        <f t="shared" si="17"/>
        <v>15.940686868686864</v>
      </c>
      <c r="AJ29" s="6">
        <f t="shared" si="18"/>
        <v>0</v>
      </c>
      <c r="AK29" s="6">
        <f t="shared" si="19"/>
        <v>70.702970297029694</v>
      </c>
      <c r="AL29" s="6">
        <f t="shared" si="20"/>
        <v>87.890101010101006</v>
      </c>
      <c r="AM29" s="6">
        <f t="shared" si="21"/>
        <v>102.54653465346534</v>
      </c>
      <c r="AN29" s="6">
        <f t="shared" si="22"/>
        <v>104.15353535353533</v>
      </c>
      <c r="AO29" s="6">
        <f t="shared" si="23"/>
        <v>88.212848484848465</v>
      </c>
      <c r="AP29" s="6"/>
    </row>
    <row r="30" spans="1:63">
      <c r="A30" t="s">
        <v>52</v>
      </c>
      <c r="D30" s="2"/>
      <c r="E30" t="s">
        <v>313</v>
      </c>
      <c r="F30" t="s">
        <v>314</v>
      </c>
      <c r="G30" s="4">
        <v>100</v>
      </c>
      <c r="H30" s="4">
        <v>1</v>
      </c>
      <c r="I30" s="4">
        <v>500</v>
      </c>
      <c r="J30" s="4">
        <v>10</v>
      </c>
      <c r="K30" s="4">
        <f t="shared" si="0"/>
        <v>510</v>
      </c>
      <c r="L30" s="4" t="s">
        <v>83</v>
      </c>
      <c r="M30" s="4">
        <v>50.5</v>
      </c>
      <c r="N30">
        <v>3310</v>
      </c>
      <c r="O30" s="5">
        <f t="shared" si="1"/>
        <v>66.855445544554456</v>
      </c>
      <c r="P30" t="s">
        <v>314</v>
      </c>
      <c r="R30" t="s">
        <v>24</v>
      </c>
      <c r="S30" s="6">
        <f t="shared" si="7"/>
        <v>17.179272727272728</v>
      </c>
      <c r="T30" s="6">
        <f>O9</f>
        <v>54.191287128712872</v>
      </c>
      <c r="U30" s="6">
        <f t="shared" si="24"/>
        <v>66.855445544554456</v>
      </c>
      <c r="V30" s="6">
        <f t="shared" si="8"/>
        <v>82.836363636363629</v>
      </c>
      <c r="W30" s="6">
        <f t="shared" si="9"/>
        <v>92.405940594059402</v>
      </c>
      <c r="X30" s="6">
        <f t="shared" si="10"/>
        <v>99.424242424242436</v>
      </c>
      <c r="Z30" t="str">
        <f t="shared" si="3"/>
        <v>3c</v>
      </c>
      <c r="AA30" s="6">
        <f t="shared" si="11"/>
        <v>0.32727272727272727</v>
      </c>
      <c r="AB30" s="6">
        <f>O69</f>
        <v>7.7227722772277227E-2</v>
      </c>
      <c r="AC30" s="6">
        <f t="shared" si="12"/>
        <v>0.27920792079207918</v>
      </c>
      <c r="AD30" s="6">
        <f t="shared" si="13"/>
        <v>0.84040404040404026</v>
      </c>
      <c r="AE30" s="6">
        <f t="shared" si="14"/>
        <v>0.36237623762376237</v>
      </c>
      <c r="AF30" s="6">
        <f t="shared" si="15"/>
        <v>0.6</v>
      </c>
      <c r="AH30" t="str">
        <f t="shared" si="16"/>
        <v>3c</v>
      </c>
      <c r="AI30" s="6">
        <f t="shared" si="17"/>
        <v>16.852</v>
      </c>
      <c r="AJ30" s="6">
        <f t="shared" si="18"/>
        <v>54.114059405940594</v>
      </c>
      <c r="AK30" s="6">
        <f t="shared" si="19"/>
        <v>66.576237623762381</v>
      </c>
      <c r="AL30" s="6">
        <f t="shared" si="20"/>
        <v>81.99595959595959</v>
      </c>
      <c r="AM30" s="6">
        <f t="shared" si="21"/>
        <v>92.043564356435638</v>
      </c>
      <c r="AN30" s="6">
        <f t="shared" si="22"/>
        <v>98.824242424242442</v>
      </c>
      <c r="AO30" s="6">
        <f t="shared" si="23"/>
        <v>81.972242424242438</v>
      </c>
      <c r="AP30" s="6"/>
      <c r="AQ30" t="s">
        <v>419</v>
      </c>
      <c r="AX30" t="s">
        <v>427</v>
      </c>
      <c r="BE30" s="18"/>
      <c r="BF30" s="18"/>
      <c r="BG30" s="18"/>
      <c r="BH30" s="18"/>
      <c r="BI30" s="18"/>
      <c r="BJ30" s="18"/>
      <c r="BK30" s="18"/>
    </row>
    <row r="31" spans="1:63">
      <c r="A31" t="s">
        <v>53</v>
      </c>
      <c r="D31" s="2"/>
      <c r="E31" t="s">
        <v>315</v>
      </c>
      <c r="F31" t="s">
        <v>191</v>
      </c>
      <c r="G31" s="4">
        <v>10</v>
      </c>
      <c r="H31" s="4">
        <v>1</v>
      </c>
      <c r="I31" s="4">
        <v>500</v>
      </c>
      <c r="J31" s="4">
        <v>10</v>
      </c>
      <c r="K31" s="4">
        <f t="shared" si="0"/>
        <v>510</v>
      </c>
      <c r="L31" s="4" t="s">
        <v>83</v>
      </c>
      <c r="M31" s="4">
        <v>50.5</v>
      </c>
      <c r="N31">
        <v>18448</v>
      </c>
      <c r="O31" s="5">
        <f t="shared" si="1"/>
        <v>37.261306930693067</v>
      </c>
      <c r="P31" t="s">
        <v>191</v>
      </c>
      <c r="R31" t="s">
        <v>4</v>
      </c>
      <c r="S31" s="6">
        <f t="shared" si="7"/>
        <v>16.758909090909093</v>
      </c>
      <c r="T31" s="6">
        <f>O10</f>
        <v>28.638772277227723</v>
      </c>
      <c r="U31" s="6">
        <f t="shared" si="24"/>
        <v>37.261306930693067</v>
      </c>
      <c r="V31" s="6">
        <f t="shared" si="8"/>
        <v>41.19769696969697</v>
      </c>
      <c r="W31" s="6">
        <f t="shared" si="9"/>
        <v>42.565306930693069</v>
      </c>
      <c r="X31" s="6">
        <f t="shared" si="10"/>
        <v>44.750181818181815</v>
      </c>
      <c r="Z31" t="str">
        <f t="shared" si="3"/>
        <v>4a</v>
      </c>
      <c r="AA31" s="6">
        <f t="shared" si="11"/>
        <v>0.28888888888888886</v>
      </c>
      <c r="AB31" s="6">
        <f>O72</f>
        <v>0.21386138613861386</v>
      </c>
      <c r="AC31" s="6">
        <f t="shared" si="12"/>
        <v>0.17029702970297028</v>
      </c>
      <c r="AD31" s="6">
        <f t="shared" si="13"/>
        <v>0.26060606060606062</v>
      </c>
      <c r="AE31" s="6">
        <f t="shared" si="14"/>
        <v>0.21386138613861386</v>
      </c>
      <c r="AF31" s="6">
        <f t="shared" si="15"/>
        <v>0.20606060606060606</v>
      </c>
      <c r="AH31" t="str">
        <f t="shared" si="16"/>
        <v>4a</v>
      </c>
      <c r="AI31" s="6">
        <f t="shared" si="17"/>
        <v>16.470020202020205</v>
      </c>
      <c r="AJ31" s="6">
        <f t="shared" si="18"/>
        <v>28.424910891089109</v>
      </c>
      <c r="AK31" s="6">
        <f t="shared" si="19"/>
        <v>37.091009900990095</v>
      </c>
      <c r="AL31" s="6">
        <f t="shared" si="20"/>
        <v>40.937090909090912</v>
      </c>
      <c r="AM31" s="6">
        <f t="shared" si="21"/>
        <v>42.351445544554458</v>
      </c>
      <c r="AN31" s="6">
        <f t="shared" si="22"/>
        <v>44.544121212121212</v>
      </c>
      <c r="AO31" s="6">
        <f t="shared" si="23"/>
        <v>28.074101010101007</v>
      </c>
      <c r="BE31" s="18"/>
      <c r="BF31" s="18"/>
      <c r="BG31" s="18"/>
      <c r="BH31" s="18"/>
      <c r="BI31" s="18"/>
      <c r="BJ31" s="18"/>
      <c r="BK31" s="18"/>
    </row>
    <row r="32" spans="1:63" ht="15.75" thickBot="1">
      <c r="A32" t="s">
        <v>54</v>
      </c>
      <c r="D32" s="2"/>
      <c r="E32" t="s">
        <v>316</v>
      </c>
      <c r="F32" t="s">
        <v>193</v>
      </c>
      <c r="G32" s="4">
        <v>10</v>
      </c>
      <c r="H32" s="4">
        <v>1</v>
      </c>
      <c r="I32" s="4">
        <v>500</v>
      </c>
      <c r="J32" s="4">
        <v>10</v>
      </c>
      <c r="K32" s="4">
        <f t="shared" si="0"/>
        <v>510</v>
      </c>
      <c r="L32" s="4" t="s">
        <v>83</v>
      </c>
      <c r="M32" s="4">
        <v>50.5</v>
      </c>
      <c r="N32">
        <v>15770</v>
      </c>
      <c r="O32" s="5">
        <f t="shared" si="1"/>
        <v>31.852277227722773</v>
      </c>
      <c r="P32" t="s">
        <v>193</v>
      </c>
      <c r="R32" t="s">
        <v>5</v>
      </c>
      <c r="S32" s="6">
        <f t="shared" si="7"/>
        <v>16.800121212121212</v>
      </c>
      <c r="T32" s="6"/>
      <c r="U32" s="6">
        <f t="shared" si="24"/>
        <v>31.852277227722773</v>
      </c>
      <c r="V32" s="6">
        <f t="shared" si="8"/>
        <v>33.037696969696974</v>
      </c>
      <c r="W32" s="6">
        <f t="shared" si="9"/>
        <v>33.443881188118809</v>
      </c>
      <c r="X32" s="6">
        <f t="shared" si="10"/>
        <v>35.803030303030297</v>
      </c>
      <c r="Z32" t="str">
        <f t="shared" si="3"/>
        <v>4b</v>
      </c>
      <c r="AA32" s="6">
        <f t="shared" si="11"/>
        <v>0.30101010101010101</v>
      </c>
      <c r="AC32" s="6">
        <f t="shared" si="12"/>
        <v>0.13465346534653466</v>
      </c>
      <c r="AD32" s="6">
        <f t="shared" si="13"/>
        <v>0.19797979797979795</v>
      </c>
      <c r="AE32" s="6">
        <f t="shared" si="14"/>
        <v>8.9108910891089105E-2</v>
      </c>
      <c r="AF32" s="6">
        <f t="shared" si="15"/>
        <v>0.2424242424242424</v>
      </c>
      <c r="AH32" t="str">
        <f t="shared" si="16"/>
        <v>4b</v>
      </c>
      <c r="AI32" s="6">
        <f t="shared" si="17"/>
        <v>16.499111111111112</v>
      </c>
      <c r="AJ32" s="6">
        <f t="shared" si="18"/>
        <v>0</v>
      </c>
      <c r="AK32" s="6">
        <f t="shared" si="19"/>
        <v>31.717623762376238</v>
      </c>
      <c r="AL32" s="6">
        <f t="shared" si="20"/>
        <v>32.839717171717176</v>
      </c>
      <c r="AM32" s="6">
        <f t="shared" si="21"/>
        <v>33.354772277227717</v>
      </c>
      <c r="AN32" s="6">
        <f t="shared" si="22"/>
        <v>35.560606060606055</v>
      </c>
      <c r="AO32" s="6">
        <f t="shared" si="23"/>
        <v>19.061494949494943</v>
      </c>
      <c r="AP32" s="6"/>
      <c r="AQ32" t="s">
        <v>404</v>
      </c>
      <c r="AX32" t="s">
        <v>404</v>
      </c>
      <c r="BE32" s="18"/>
      <c r="BF32" s="18"/>
      <c r="BG32" s="18"/>
      <c r="BH32" s="18"/>
      <c r="BI32" s="18"/>
      <c r="BJ32" s="18"/>
      <c r="BK32" s="18"/>
    </row>
    <row r="33" spans="1:63">
      <c r="A33" t="s">
        <v>55</v>
      </c>
      <c r="D33" s="2"/>
      <c r="E33" t="s">
        <v>97</v>
      </c>
      <c r="F33" t="s">
        <v>195</v>
      </c>
      <c r="G33" s="4">
        <v>10</v>
      </c>
      <c r="H33" s="4">
        <v>1</v>
      </c>
      <c r="I33" s="4">
        <v>500</v>
      </c>
      <c r="J33" s="4">
        <v>10</v>
      </c>
      <c r="K33" s="4">
        <f t="shared" si="0"/>
        <v>510</v>
      </c>
      <c r="L33" s="4" t="s">
        <v>83</v>
      </c>
      <c r="M33" s="4">
        <v>50.5</v>
      </c>
      <c r="N33">
        <v>17391</v>
      </c>
      <c r="O33" s="5">
        <f t="shared" si="1"/>
        <v>35.126376237623759</v>
      </c>
      <c r="P33" t="s">
        <v>195</v>
      </c>
      <c r="R33" t="s">
        <v>22</v>
      </c>
      <c r="S33" s="6">
        <f t="shared" si="7"/>
        <v>16.964969696969696</v>
      </c>
      <c r="T33" s="6">
        <f>O11</f>
        <v>28.13584158415842</v>
      </c>
      <c r="U33" s="6">
        <f t="shared" si="24"/>
        <v>35.126376237623759</v>
      </c>
      <c r="V33" s="6">
        <f t="shared" si="8"/>
        <v>42.081696969696964</v>
      </c>
      <c r="W33" s="6">
        <f t="shared" si="9"/>
        <v>42.961188118811883</v>
      </c>
      <c r="X33" s="6">
        <f t="shared" si="10"/>
        <v>46.103999999999999</v>
      </c>
      <c r="Z33" t="str">
        <f t="shared" si="3"/>
        <v>4c</v>
      </c>
      <c r="AA33" s="6">
        <f t="shared" si="11"/>
        <v>0.25454545454545457</v>
      </c>
      <c r="AB33" s="6">
        <f>O73</f>
        <v>4.3564356435643561E-2</v>
      </c>
      <c r="AC33" s="6">
        <f t="shared" si="12"/>
        <v>7.7227722772277227E-2</v>
      </c>
      <c r="AD33" s="6">
        <f t="shared" si="13"/>
        <v>0.1898989898989899</v>
      </c>
      <c r="AE33" s="6">
        <f t="shared" si="14"/>
        <v>0.17821782178217821</v>
      </c>
      <c r="AF33" s="6">
        <f t="shared" si="15"/>
        <v>0.21616161616161619</v>
      </c>
      <c r="AH33" t="str">
        <f t="shared" si="16"/>
        <v>4c</v>
      </c>
      <c r="AI33" s="6">
        <f t="shared" si="17"/>
        <v>16.710424242424242</v>
      </c>
      <c r="AJ33" s="6">
        <f t="shared" si="18"/>
        <v>28.092277227722779</v>
      </c>
      <c r="AK33" s="6">
        <f t="shared" si="19"/>
        <v>35.049148514851481</v>
      </c>
      <c r="AL33" s="6">
        <f t="shared" si="20"/>
        <v>41.891797979797971</v>
      </c>
      <c r="AM33" s="6">
        <f t="shared" si="21"/>
        <v>42.782970297029706</v>
      </c>
      <c r="AN33" s="6">
        <f t="shared" si="22"/>
        <v>45.887838383838385</v>
      </c>
      <c r="AO33" s="6">
        <f t="shared" si="23"/>
        <v>29.177414141414143</v>
      </c>
      <c r="AP33" s="6"/>
      <c r="AQ33" s="17" t="s">
        <v>405</v>
      </c>
      <c r="AR33" s="17" t="s">
        <v>406</v>
      </c>
      <c r="AS33" s="17" t="s">
        <v>407</v>
      </c>
      <c r="AT33" s="17" t="s">
        <v>0</v>
      </c>
      <c r="AU33" s="17" t="s">
        <v>408</v>
      </c>
      <c r="AX33" s="17" t="s">
        <v>405</v>
      </c>
      <c r="AY33" s="17" t="s">
        <v>406</v>
      </c>
      <c r="AZ33" s="17" t="s">
        <v>407</v>
      </c>
      <c r="BA33" s="17" t="s">
        <v>0</v>
      </c>
      <c r="BB33" s="17" t="s">
        <v>408</v>
      </c>
      <c r="BE33" s="19"/>
      <c r="BF33" s="19"/>
      <c r="BG33" s="19"/>
      <c r="BH33" s="19"/>
      <c r="BI33" s="19"/>
      <c r="BJ33" s="18"/>
      <c r="BK33" s="18"/>
    </row>
    <row r="34" spans="1:63">
      <c r="A34" t="s">
        <v>56</v>
      </c>
      <c r="D34" s="2"/>
      <c r="E34" t="s">
        <v>98</v>
      </c>
      <c r="F34" t="s">
        <v>317</v>
      </c>
      <c r="G34" s="4">
        <v>10</v>
      </c>
      <c r="H34" s="4">
        <v>1</v>
      </c>
      <c r="I34" s="4">
        <v>500</v>
      </c>
      <c r="J34" s="4">
        <v>10</v>
      </c>
      <c r="K34" s="4">
        <f t="shared" si="0"/>
        <v>510</v>
      </c>
      <c r="L34" s="4" t="s">
        <v>83</v>
      </c>
      <c r="M34" s="4">
        <v>50.5</v>
      </c>
      <c r="N34">
        <v>4263</v>
      </c>
      <c r="O34" s="5">
        <f t="shared" si="1"/>
        <v>8.6104158415841585</v>
      </c>
      <c r="P34" t="s">
        <v>317</v>
      </c>
      <c r="R34" t="s">
        <v>84</v>
      </c>
      <c r="S34" s="6">
        <f t="shared" si="7"/>
        <v>3.9666666666666668</v>
      </c>
      <c r="T34" s="6">
        <f>O12</f>
        <v>5.0737425742574249</v>
      </c>
      <c r="U34" s="6">
        <f t="shared" si="24"/>
        <v>8.6104158415841585</v>
      </c>
      <c r="V34" s="6">
        <f t="shared" si="8"/>
        <v>11.366303030303031</v>
      </c>
      <c r="W34" s="6">
        <f t="shared" si="9"/>
        <v>12.246059405940594</v>
      </c>
      <c r="X34" s="6">
        <f t="shared" si="10"/>
        <v>13.006545454545455</v>
      </c>
      <c r="AH34" t="s">
        <v>84</v>
      </c>
      <c r="AI34" s="6">
        <f t="shared" si="17"/>
        <v>3.9666666666666668</v>
      </c>
      <c r="AJ34" s="6">
        <f t="shared" si="18"/>
        <v>5.0737425742574249</v>
      </c>
      <c r="AK34" s="6">
        <f t="shared" si="19"/>
        <v>8.6104158415841585</v>
      </c>
      <c r="AL34" s="6">
        <f t="shared" si="20"/>
        <v>11.366303030303031</v>
      </c>
      <c r="AM34" s="6">
        <f t="shared" si="21"/>
        <v>12.246059405940594</v>
      </c>
      <c r="AN34" s="6">
        <f t="shared" si="22"/>
        <v>13.006545454545455</v>
      </c>
      <c r="AO34" s="6">
        <f t="shared" si="23"/>
        <v>9.0398787878787878</v>
      </c>
      <c r="AQ34" s="15" t="s">
        <v>91</v>
      </c>
      <c r="AR34" s="15">
        <v>3</v>
      </c>
      <c r="AS34" s="15">
        <v>408.83393939393943</v>
      </c>
      <c r="AT34" s="15">
        <v>136.27797979797981</v>
      </c>
      <c r="AU34" s="15">
        <v>2.7757743903683072</v>
      </c>
      <c r="AX34" s="15" t="s">
        <v>91</v>
      </c>
      <c r="AY34" s="15">
        <v>3</v>
      </c>
      <c r="AZ34" s="15">
        <v>55.139070707070701</v>
      </c>
      <c r="BA34" s="15">
        <v>18.379690235690234</v>
      </c>
      <c r="BB34" s="15">
        <v>0.66175420358466863</v>
      </c>
      <c r="BE34" s="15"/>
      <c r="BF34" s="15"/>
      <c r="BG34" s="15"/>
      <c r="BH34" s="15"/>
      <c r="BI34" s="15"/>
      <c r="BJ34" s="18"/>
      <c r="BK34" s="18"/>
    </row>
    <row r="35" spans="1:63">
      <c r="A35" t="s">
        <v>57</v>
      </c>
      <c r="D35" s="2"/>
      <c r="E35" t="s">
        <v>99</v>
      </c>
      <c r="F35" t="s">
        <v>318</v>
      </c>
      <c r="G35" s="4">
        <v>10</v>
      </c>
      <c r="H35" s="4">
        <v>1</v>
      </c>
      <c r="I35" s="4">
        <v>500</v>
      </c>
      <c r="J35" s="4">
        <v>10</v>
      </c>
      <c r="K35" s="4">
        <f t="shared" si="0"/>
        <v>510</v>
      </c>
      <c r="L35" s="4" t="s">
        <v>83</v>
      </c>
      <c r="M35" s="4">
        <v>50.5</v>
      </c>
      <c r="N35">
        <v>3747</v>
      </c>
      <c r="O35" s="5">
        <f t="shared" si="1"/>
        <v>7.5681980198019794</v>
      </c>
      <c r="P35" t="s">
        <v>318</v>
      </c>
      <c r="R35" t="s">
        <v>85</v>
      </c>
      <c r="S35" s="6">
        <f t="shared" si="7"/>
        <v>4.2448484848484842</v>
      </c>
      <c r="T35" s="6"/>
      <c r="U35" s="6">
        <f t="shared" si="24"/>
        <v>7.5681980198019794</v>
      </c>
      <c r="V35" s="6">
        <f t="shared" si="8"/>
        <v>8.741090909090909</v>
      </c>
      <c r="W35" s="6">
        <f t="shared" si="9"/>
        <v>9.5314455445544546</v>
      </c>
      <c r="X35" s="6">
        <f t="shared" si="10"/>
        <v>10.404</v>
      </c>
      <c r="AH35" t="s">
        <v>85</v>
      </c>
      <c r="AI35" s="6">
        <f t="shared" si="17"/>
        <v>4.2448484848484842</v>
      </c>
      <c r="AJ35" s="6">
        <f t="shared" si="18"/>
        <v>0</v>
      </c>
      <c r="AK35" s="6">
        <f t="shared" si="19"/>
        <v>7.5681980198019794</v>
      </c>
      <c r="AL35" s="6">
        <f t="shared" si="20"/>
        <v>8.741090909090909</v>
      </c>
      <c r="AM35" s="6">
        <f t="shared" si="21"/>
        <v>9.5314455445544546</v>
      </c>
      <c r="AN35" s="6">
        <f t="shared" si="22"/>
        <v>10.404</v>
      </c>
      <c r="AO35" s="6">
        <f t="shared" si="23"/>
        <v>6.1591515151515157</v>
      </c>
      <c r="AP35" s="6"/>
      <c r="AQ35" s="15" t="s">
        <v>90</v>
      </c>
      <c r="AR35" s="15">
        <v>3</v>
      </c>
      <c r="AS35" s="15">
        <v>190.63002020202021</v>
      </c>
      <c r="AT35" s="15">
        <v>63.543340067340068</v>
      </c>
      <c r="AU35" s="15">
        <v>0.88375236213991115</v>
      </c>
      <c r="AX35" s="15" t="s">
        <v>90</v>
      </c>
      <c r="AY35" s="15">
        <v>3</v>
      </c>
      <c r="AZ35" s="15">
        <v>59.718949494949484</v>
      </c>
      <c r="BA35" s="15">
        <v>19.906316498316496</v>
      </c>
      <c r="BB35" s="15">
        <v>4.6051213277556513E-2</v>
      </c>
      <c r="BE35" s="15"/>
      <c r="BF35" s="15"/>
      <c r="BG35" s="15"/>
      <c r="BH35" s="15"/>
      <c r="BI35" s="15"/>
      <c r="BJ35" s="18"/>
      <c r="BK35" s="18"/>
    </row>
    <row r="36" spans="1:63">
      <c r="A36" t="s">
        <v>58</v>
      </c>
      <c r="D36" s="2"/>
      <c r="E36" t="s">
        <v>100</v>
      </c>
      <c r="F36" t="s">
        <v>319</v>
      </c>
      <c r="G36" s="4">
        <v>10</v>
      </c>
      <c r="H36" s="4">
        <v>1</v>
      </c>
      <c r="I36" s="4">
        <v>500</v>
      </c>
      <c r="J36" s="4">
        <v>10</v>
      </c>
      <c r="K36" s="4">
        <f t="shared" ref="K36:K67" si="25">I36+J36</f>
        <v>510</v>
      </c>
      <c r="L36" s="4" t="s">
        <v>83</v>
      </c>
      <c r="M36" s="4">
        <v>50.5</v>
      </c>
      <c r="N36">
        <v>3855</v>
      </c>
      <c r="O36" s="5">
        <f t="shared" ref="O36:O67" si="26">((((N36)/((M36*H36)/1000))*G36)*(K36/I36))/100000</f>
        <v>7.7863366336633657</v>
      </c>
      <c r="P36" t="s">
        <v>319</v>
      </c>
      <c r="R36" t="s">
        <v>86</v>
      </c>
      <c r="S36" s="6">
        <f t="shared" si="7"/>
        <v>4.327272727272728</v>
      </c>
      <c r="T36" s="6">
        <f>O13</f>
        <v>4.9909306930693074</v>
      </c>
      <c r="U36" s="6">
        <f t="shared" si="24"/>
        <v>7.7863366336633657</v>
      </c>
      <c r="V36" s="6">
        <f t="shared" si="8"/>
        <v>9.0810909090909089</v>
      </c>
      <c r="W36" s="6">
        <f t="shared" si="9"/>
        <v>9.5011485148514847</v>
      </c>
      <c r="X36" s="6">
        <f t="shared" si="10"/>
        <v>10.678060606060605</v>
      </c>
      <c r="AH36" t="s">
        <v>86</v>
      </c>
      <c r="AI36" s="6">
        <f t="shared" si="17"/>
        <v>4.327272727272728</v>
      </c>
      <c r="AJ36" s="6">
        <f t="shared" si="18"/>
        <v>4.9909306930693074</v>
      </c>
      <c r="AK36" s="6">
        <f t="shared" si="19"/>
        <v>7.7863366336633657</v>
      </c>
      <c r="AL36" s="6">
        <f t="shared" si="20"/>
        <v>9.0810909090909089</v>
      </c>
      <c r="AM36" s="6">
        <f t="shared" si="21"/>
        <v>9.5011485148514847</v>
      </c>
      <c r="AN36" s="6">
        <f t="shared" si="22"/>
        <v>10.678060606060605</v>
      </c>
      <c r="AO36" s="6">
        <f t="shared" si="23"/>
        <v>6.3507878787878767</v>
      </c>
      <c r="AP36" s="6"/>
      <c r="AQ36" s="15" t="s">
        <v>92</v>
      </c>
      <c r="AR36" s="15">
        <v>3</v>
      </c>
      <c r="AS36" s="15">
        <v>306.9042424242424</v>
      </c>
      <c r="AT36" s="15">
        <v>102.30141414141413</v>
      </c>
      <c r="AU36" s="15">
        <v>9.0809326395264858</v>
      </c>
      <c r="AX36" s="15" t="s">
        <v>92</v>
      </c>
      <c r="AY36" s="15">
        <v>3</v>
      </c>
      <c r="AZ36" s="15">
        <v>48.818060606060598</v>
      </c>
      <c r="BA36" s="15">
        <v>16.272686868686865</v>
      </c>
      <c r="BB36" s="15">
        <v>0.25349574451586743</v>
      </c>
      <c r="BE36" s="15"/>
      <c r="BF36" s="15"/>
      <c r="BG36" s="15"/>
      <c r="BH36" s="15"/>
      <c r="BI36" s="15"/>
      <c r="BJ36" s="18"/>
      <c r="BK36" s="18"/>
    </row>
    <row r="37" spans="1:63">
      <c r="A37" t="s">
        <v>59</v>
      </c>
      <c r="D37" s="2"/>
      <c r="E37" t="s">
        <v>101</v>
      </c>
      <c r="F37" t="s">
        <v>320</v>
      </c>
      <c r="G37" s="4">
        <v>10</v>
      </c>
      <c r="H37" s="4">
        <v>1</v>
      </c>
      <c r="I37" s="4">
        <v>500</v>
      </c>
      <c r="J37" s="4">
        <v>10</v>
      </c>
      <c r="K37" s="4">
        <f t="shared" si="25"/>
        <v>510</v>
      </c>
      <c r="L37" s="4" t="s">
        <v>83</v>
      </c>
      <c r="M37" s="4">
        <v>50.5</v>
      </c>
      <c r="N37">
        <v>60263</v>
      </c>
      <c r="O37" s="5">
        <f t="shared" si="26"/>
        <v>121.71932673267325</v>
      </c>
      <c r="P37" t="s">
        <v>320</v>
      </c>
      <c r="R37" t="s">
        <v>87</v>
      </c>
      <c r="S37" s="6">
        <f t="shared" si="7"/>
        <v>4.2798787878787881</v>
      </c>
      <c r="T37" s="6">
        <f>O14</f>
        <v>15.67568316831683</v>
      </c>
      <c r="U37" s="6">
        <f t="shared" si="24"/>
        <v>121.71932673267325</v>
      </c>
      <c r="V37" s="6">
        <f t="shared" si="8"/>
        <v>139.02909090909091</v>
      </c>
      <c r="W37" s="6">
        <f t="shared" si="9"/>
        <v>130.44399999999999</v>
      </c>
      <c r="X37" s="6">
        <f t="shared" si="10"/>
        <v>129.11963636363637</v>
      </c>
      <c r="AH37" t="s">
        <v>87</v>
      </c>
      <c r="AI37" s="6">
        <f t="shared" si="17"/>
        <v>4.2798787878787881</v>
      </c>
      <c r="AJ37" s="6">
        <f t="shared" si="18"/>
        <v>15.67568316831683</v>
      </c>
      <c r="AK37" s="6">
        <f t="shared" si="19"/>
        <v>121.71932673267325</v>
      </c>
      <c r="AL37" s="6">
        <f t="shared" si="20"/>
        <v>139.02909090909091</v>
      </c>
      <c r="AM37" s="6">
        <f t="shared" si="21"/>
        <v>130.44399999999999</v>
      </c>
      <c r="AN37" s="6">
        <f t="shared" si="22"/>
        <v>129.11963636363637</v>
      </c>
      <c r="AO37" s="24">
        <f>(AN37-AI37)</f>
        <v>124.83975757575759</v>
      </c>
      <c r="AQ37" s="15" t="s">
        <v>93</v>
      </c>
      <c r="AR37" s="15">
        <v>3</v>
      </c>
      <c r="AS37" s="15">
        <v>125.99256565656566</v>
      </c>
      <c r="AT37" s="15">
        <v>41.997521885521884</v>
      </c>
      <c r="AU37" s="15">
        <v>31.526807962180555</v>
      </c>
      <c r="AX37" s="15" t="s">
        <v>93</v>
      </c>
      <c r="AY37" s="15">
        <v>3</v>
      </c>
      <c r="AZ37" s="15">
        <v>49.679555555555552</v>
      </c>
      <c r="BA37" s="15">
        <v>16.55985185185185</v>
      </c>
      <c r="BB37" s="15">
        <v>1.7215603849946911E-2</v>
      </c>
      <c r="BE37" s="15"/>
      <c r="BF37" s="15"/>
      <c r="BG37" s="15"/>
      <c r="BH37" s="15"/>
      <c r="BI37" s="15"/>
      <c r="BJ37" s="18"/>
      <c r="BK37" s="18"/>
    </row>
    <row r="38" spans="1:63">
      <c r="A38" t="s">
        <v>60</v>
      </c>
      <c r="D38" s="2"/>
      <c r="E38" t="s">
        <v>102</v>
      </c>
      <c r="F38" t="s">
        <v>321</v>
      </c>
      <c r="G38" s="4">
        <v>10</v>
      </c>
      <c r="H38" s="4">
        <v>1</v>
      </c>
      <c r="I38" s="4">
        <v>500</v>
      </c>
      <c r="J38" s="4">
        <v>10</v>
      </c>
      <c r="K38" s="4">
        <f t="shared" si="25"/>
        <v>510</v>
      </c>
      <c r="L38" s="4" t="s">
        <v>83</v>
      </c>
      <c r="M38" s="4">
        <v>50.5</v>
      </c>
      <c r="N38">
        <v>59995</v>
      </c>
      <c r="O38" s="5">
        <f t="shared" si="26"/>
        <v>121.17801980198018</v>
      </c>
      <c r="P38" t="s">
        <v>321</v>
      </c>
      <c r="R38" t="s">
        <v>88</v>
      </c>
      <c r="S38" s="6">
        <f t="shared" si="7"/>
        <v>4.2036363636363632</v>
      </c>
      <c r="T38" s="6"/>
      <c r="U38" s="6">
        <f t="shared" si="24"/>
        <v>121.17801980198018</v>
      </c>
      <c r="V38" s="6">
        <f t="shared" si="8"/>
        <v>138.0812121212121</v>
      </c>
      <c r="W38" s="6">
        <f t="shared" si="9"/>
        <v>137.38</v>
      </c>
      <c r="X38" s="6">
        <f t="shared" si="10"/>
        <v>131.35951515151513</v>
      </c>
      <c r="AH38" t="s">
        <v>88</v>
      </c>
      <c r="AI38" s="6">
        <f t="shared" si="17"/>
        <v>4.2036363636363632</v>
      </c>
      <c r="AJ38" s="6">
        <f t="shared" si="18"/>
        <v>0</v>
      </c>
      <c r="AK38" s="6">
        <f t="shared" si="19"/>
        <v>121.17801980198018</v>
      </c>
      <c r="AL38" s="6">
        <f t="shared" si="20"/>
        <v>138.0812121212121</v>
      </c>
      <c r="AM38" s="6">
        <f t="shared" si="21"/>
        <v>137.38</v>
      </c>
      <c r="AN38" s="6">
        <f t="shared" si="22"/>
        <v>131.35951515151513</v>
      </c>
      <c r="AO38" s="24">
        <f>(AN38-AI38)</f>
        <v>127.15587878787876</v>
      </c>
      <c r="AP38" s="6"/>
      <c r="AQ38" s="15" t="s">
        <v>94</v>
      </c>
      <c r="AR38" s="15">
        <v>3</v>
      </c>
      <c r="AS38" s="15">
        <v>34.088606060606061</v>
      </c>
      <c r="AT38" s="15">
        <v>11.362868686868687</v>
      </c>
      <c r="AU38" s="15">
        <v>2.0450322913988259</v>
      </c>
      <c r="AX38" s="15" t="s">
        <v>94</v>
      </c>
      <c r="AY38" s="15">
        <v>3</v>
      </c>
      <c r="AZ38" s="15">
        <v>12.538787878787879</v>
      </c>
      <c r="BA38" s="15">
        <v>4.17959595959596</v>
      </c>
      <c r="BB38" s="15">
        <v>3.5702601775329093E-2</v>
      </c>
      <c r="BE38" s="18"/>
      <c r="BF38" s="18"/>
      <c r="BG38" s="18"/>
      <c r="BH38" s="18"/>
      <c r="BI38" s="18"/>
      <c r="BJ38" s="18"/>
      <c r="BK38" s="18"/>
    </row>
    <row r="39" spans="1:63" ht="15.75" thickBot="1">
      <c r="A39" t="s">
        <v>61</v>
      </c>
      <c r="D39" s="2"/>
      <c r="E39" t="s">
        <v>103</v>
      </c>
      <c r="F39" t="s">
        <v>322</v>
      </c>
      <c r="G39" s="4">
        <v>10</v>
      </c>
      <c r="H39" s="4">
        <v>1</v>
      </c>
      <c r="I39" s="4">
        <v>500</v>
      </c>
      <c r="J39" s="4">
        <v>10</v>
      </c>
      <c r="K39" s="4">
        <f t="shared" si="25"/>
        <v>510</v>
      </c>
      <c r="L39" s="4" t="s">
        <v>83</v>
      </c>
      <c r="M39" s="4">
        <v>50.5</v>
      </c>
      <c r="N39">
        <v>60984</v>
      </c>
      <c r="O39" s="5">
        <f t="shared" si="26"/>
        <v>123.17560396039603</v>
      </c>
      <c r="P39" t="s">
        <v>322</v>
      </c>
      <c r="R39" t="s">
        <v>89</v>
      </c>
      <c r="S39" s="6">
        <f t="shared" si="7"/>
        <v>4.2633939393939393</v>
      </c>
      <c r="T39" s="6">
        <f>O15</f>
        <v>15.38281188118812</v>
      </c>
      <c r="U39" s="6">
        <f t="shared" si="24"/>
        <v>123.17560396039603</v>
      </c>
      <c r="V39" s="6">
        <f t="shared" si="8"/>
        <v>143.58303030303028</v>
      </c>
      <c r="W39" s="6">
        <f t="shared" si="9"/>
        <v>137.76</v>
      </c>
      <c r="X39" s="6">
        <f t="shared" si="10"/>
        <v>134.29999999999998</v>
      </c>
      <c r="AH39" t="s">
        <v>89</v>
      </c>
      <c r="AI39" s="6">
        <f t="shared" si="17"/>
        <v>4.2633939393939393</v>
      </c>
      <c r="AJ39" s="6">
        <f t="shared" si="18"/>
        <v>15.38281188118812</v>
      </c>
      <c r="AK39" s="6">
        <f t="shared" si="19"/>
        <v>123.17560396039603</v>
      </c>
      <c r="AL39" s="6">
        <f t="shared" si="20"/>
        <v>143.58303030303028</v>
      </c>
      <c r="AM39" s="6">
        <f t="shared" si="21"/>
        <v>137.76</v>
      </c>
      <c r="AN39" s="6">
        <f t="shared" si="22"/>
        <v>134.29999999999998</v>
      </c>
      <c r="AO39" s="24">
        <f>(AN39-AI39)</f>
        <v>130.03660606060603</v>
      </c>
      <c r="AP39" s="6"/>
      <c r="AQ39" s="16" t="s">
        <v>95</v>
      </c>
      <c r="AR39" s="16">
        <v>3</v>
      </c>
      <c r="AS39" s="16">
        <v>3947.7915151515153</v>
      </c>
      <c r="AT39" s="16">
        <v>1315.9305050505052</v>
      </c>
      <c r="AU39" s="16">
        <v>674.99459222528208</v>
      </c>
      <c r="AX39" s="16" t="s">
        <v>95</v>
      </c>
      <c r="AY39" s="16">
        <v>3</v>
      </c>
      <c r="AZ39" s="16">
        <v>12.746909090909091</v>
      </c>
      <c r="BA39" s="16">
        <v>4.2489696969696968</v>
      </c>
      <c r="BB39" s="16">
        <v>1.6092708907254614E-3</v>
      </c>
      <c r="BE39" s="18"/>
      <c r="BF39" s="18"/>
      <c r="BG39" s="18"/>
      <c r="BH39" s="18"/>
      <c r="BI39" s="18"/>
      <c r="BJ39" s="18"/>
      <c r="BK39" s="18"/>
    </row>
    <row r="40" spans="1:63">
      <c r="A40" t="s">
        <v>62</v>
      </c>
      <c r="D40" s="2"/>
      <c r="E40" t="s">
        <v>104</v>
      </c>
      <c r="F40" t="s">
        <v>185</v>
      </c>
      <c r="G40" s="4">
        <v>10</v>
      </c>
      <c r="H40" s="4">
        <v>1</v>
      </c>
      <c r="I40" s="4">
        <v>500</v>
      </c>
      <c r="J40" s="4">
        <v>10</v>
      </c>
      <c r="K40" s="4">
        <f t="shared" si="25"/>
        <v>510</v>
      </c>
      <c r="L40" s="4" t="s">
        <v>83</v>
      </c>
      <c r="M40" s="4">
        <v>50.5</v>
      </c>
      <c r="N40">
        <v>20467</v>
      </c>
      <c r="O40" s="5">
        <f t="shared" si="26"/>
        <v>41.339287128712876</v>
      </c>
      <c r="P40" t="s">
        <v>185</v>
      </c>
      <c r="AO40" s="6"/>
      <c r="BE40" s="18"/>
      <c r="BF40" s="18"/>
      <c r="BG40" s="18"/>
      <c r="BH40" s="18"/>
      <c r="BI40" s="18"/>
      <c r="BJ40" s="18"/>
      <c r="BK40" s="18"/>
    </row>
    <row r="41" spans="1:63">
      <c r="A41" t="s">
        <v>63</v>
      </c>
      <c r="D41" s="2"/>
      <c r="E41" t="s">
        <v>323</v>
      </c>
      <c r="F41" t="s">
        <v>221</v>
      </c>
      <c r="G41" s="4">
        <v>100</v>
      </c>
      <c r="H41" s="4">
        <v>1</v>
      </c>
      <c r="I41" s="4">
        <v>500</v>
      </c>
      <c r="J41" s="4">
        <v>10</v>
      </c>
      <c r="K41" s="4">
        <f t="shared" si="25"/>
        <v>510</v>
      </c>
      <c r="L41" s="4" t="s">
        <v>83</v>
      </c>
      <c r="M41" s="4">
        <v>50.5</v>
      </c>
      <c r="N41">
        <v>5915</v>
      </c>
      <c r="O41" s="5">
        <f t="shared" si="26"/>
        <v>119.47128712871285</v>
      </c>
      <c r="P41" t="s">
        <v>221</v>
      </c>
      <c r="AO41" s="6"/>
      <c r="BE41" s="19"/>
      <c r="BF41" s="19"/>
      <c r="BG41" s="19"/>
      <c r="BH41" s="19"/>
      <c r="BI41" s="19"/>
      <c r="BJ41" s="19"/>
      <c r="BK41" s="19"/>
    </row>
    <row r="42" spans="1:63" ht="15.75" thickBot="1">
      <c r="A42" t="s">
        <v>64</v>
      </c>
      <c r="D42" s="2"/>
      <c r="E42" t="s">
        <v>324</v>
      </c>
      <c r="F42" t="s">
        <v>223</v>
      </c>
      <c r="G42" s="4">
        <v>100</v>
      </c>
      <c r="H42" s="4">
        <v>1</v>
      </c>
      <c r="I42" s="4">
        <v>500</v>
      </c>
      <c r="J42" s="4">
        <v>10</v>
      </c>
      <c r="K42" s="4">
        <f t="shared" si="25"/>
        <v>510</v>
      </c>
      <c r="L42" s="4" t="s">
        <v>83</v>
      </c>
      <c r="M42" s="4">
        <v>50.5</v>
      </c>
      <c r="N42">
        <v>5727</v>
      </c>
      <c r="O42" s="5">
        <f t="shared" si="26"/>
        <v>115.67405940594058</v>
      </c>
      <c r="P42" t="s">
        <v>223</v>
      </c>
      <c r="R42" t="s">
        <v>492</v>
      </c>
      <c r="T42" s="6"/>
      <c r="U42" s="6"/>
      <c r="V42" s="6"/>
      <c r="W42" s="6"/>
      <c r="AH42" t="s">
        <v>511</v>
      </c>
      <c r="AI42">
        <v>0</v>
      </c>
      <c r="AJ42">
        <v>1</v>
      </c>
      <c r="AK42">
        <v>2</v>
      </c>
      <c r="AL42">
        <v>3</v>
      </c>
      <c r="AM42">
        <v>4</v>
      </c>
      <c r="AN42">
        <v>5</v>
      </c>
      <c r="AO42" s="6" t="s">
        <v>270</v>
      </c>
      <c r="AP42" s="18"/>
      <c r="AQ42" t="s">
        <v>409</v>
      </c>
      <c r="AX42" t="s">
        <v>409</v>
      </c>
      <c r="BE42" s="15"/>
      <c r="BF42" s="15"/>
      <c r="BG42" s="15"/>
      <c r="BH42" s="15"/>
      <c r="BI42" s="15"/>
      <c r="BJ42" s="15"/>
      <c r="BK42" s="15"/>
    </row>
    <row r="43" spans="1:63">
      <c r="A43" t="s">
        <v>65</v>
      </c>
      <c r="D43" s="2"/>
      <c r="E43" t="s">
        <v>325</v>
      </c>
      <c r="F43" t="s">
        <v>225</v>
      </c>
      <c r="G43" s="4">
        <v>100</v>
      </c>
      <c r="H43" s="4">
        <v>1</v>
      </c>
      <c r="I43" s="4">
        <v>500</v>
      </c>
      <c r="J43" s="4">
        <v>10</v>
      </c>
      <c r="K43" s="4">
        <f t="shared" si="25"/>
        <v>510</v>
      </c>
      <c r="L43" s="4" t="s">
        <v>83</v>
      </c>
      <c r="M43" s="4">
        <v>50.5</v>
      </c>
      <c r="N43">
        <v>6265</v>
      </c>
      <c r="O43" s="5">
        <f t="shared" si="26"/>
        <v>126.54059405940595</v>
      </c>
      <c r="P43" t="s">
        <v>225</v>
      </c>
      <c r="S43" s="6">
        <f>AVERAGE(S34:S36)</f>
        <v>4.17959595959596</v>
      </c>
      <c r="T43" s="6" t="s">
        <v>493</v>
      </c>
      <c r="U43" s="6"/>
      <c r="V43" s="6"/>
      <c r="W43" s="6"/>
      <c r="AG43" t="s">
        <v>0</v>
      </c>
      <c r="AH43" t="s">
        <v>517</v>
      </c>
      <c r="AI43" s="6">
        <f>AVERAGE(AI22:AI24)/10</f>
        <v>1.8379690235690234</v>
      </c>
      <c r="AJ43" s="6">
        <f t="shared" ref="AJ43:AN43" si="27">AVERAGE(AJ22:AJ24)/10</f>
        <v>3.6536765676567655</v>
      </c>
      <c r="AK43" s="6">
        <f t="shared" si="27"/>
        <v>7.8998019801980206</v>
      </c>
      <c r="AL43" s="6">
        <f t="shared" si="27"/>
        <v>9.8904915824915811</v>
      </c>
      <c r="AM43" s="6">
        <f t="shared" si="27"/>
        <v>11.415603960396037</v>
      </c>
      <c r="AN43" s="6">
        <f t="shared" si="27"/>
        <v>13.627797979797981</v>
      </c>
      <c r="AO43" s="6">
        <f>AN43-AI43</f>
        <v>11.789828956228957</v>
      </c>
      <c r="AP43" s="18"/>
      <c r="AQ43" s="17" t="s">
        <v>410</v>
      </c>
      <c r="AR43" s="17" t="s">
        <v>411</v>
      </c>
      <c r="AS43" s="17" t="s">
        <v>412</v>
      </c>
      <c r="AT43" s="17" t="s">
        <v>413</v>
      </c>
      <c r="AU43" s="17" t="s">
        <v>372</v>
      </c>
      <c r="AV43" s="17" t="s">
        <v>414</v>
      </c>
      <c r="AW43" s="17" t="s">
        <v>415</v>
      </c>
      <c r="AX43" s="17" t="s">
        <v>410</v>
      </c>
      <c r="AY43" s="17" t="s">
        <v>411</v>
      </c>
      <c r="AZ43" s="17" t="s">
        <v>412</v>
      </c>
      <c r="BA43" s="17" t="s">
        <v>413</v>
      </c>
      <c r="BB43" s="17" t="s">
        <v>372</v>
      </c>
      <c r="BC43" s="17" t="s">
        <v>414</v>
      </c>
      <c r="BD43" s="17" t="s">
        <v>415</v>
      </c>
      <c r="BE43" s="15"/>
      <c r="BF43" s="15"/>
      <c r="BG43" s="15"/>
      <c r="BH43" s="15"/>
      <c r="BI43" s="15"/>
      <c r="BJ43" s="15"/>
      <c r="BK43" s="15"/>
    </row>
    <row r="44" spans="1:63">
      <c r="A44" t="s">
        <v>66</v>
      </c>
      <c r="D44" s="2"/>
      <c r="E44" t="s">
        <v>326</v>
      </c>
      <c r="F44" t="s">
        <v>227</v>
      </c>
      <c r="G44" s="4">
        <v>10</v>
      </c>
      <c r="H44" s="4">
        <v>1</v>
      </c>
      <c r="I44" s="4">
        <v>500</v>
      </c>
      <c r="J44" s="4">
        <v>10</v>
      </c>
      <c r="K44" s="4">
        <f t="shared" si="25"/>
        <v>510</v>
      </c>
      <c r="L44" s="4" t="s">
        <v>83</v>
      </c>
      <c r="M44" s="4">
        <v>50.5</v>
      </c>
      <c r="N44">
        <v>31796</v>
      </c>
      <c r="O44" s="5">
        <f t="shared" si="26"/>
        <v>64.22162376237624</v>
      </c>
      <c r="P44" t="s">
        <v>227</v>
      </c>
      <c r="S44" s="6"/>
      <c r="T44" s="6"/>
      <c r="U44" s="6"/>
      <c r="V44" s="6"/>
      <c r="W44" s="6"/>
      <c r="AH44" t="s">
        <v>521</v>
      </c>
      <c r="AI44" s="6">
        <f>AVERAGE(AI25:AI27)/10</f>
        <v>1.9906316498316496</v>
      </c>
      <c r="AJ44" s="6">
        <f t="shared" ref="AJ44:AN44" si="28">AVERAGE(AJ25:AJ27)/10</f>
        <v>1.7993359735973595</v>
      </c>
      <c r="AK44" s="6">
        <f t="shared" si="28"/>
        <v>3.6721544554455448</v>
      </c>
      <c r="AL44" s="6">
        <f t="shared" si="28"/>
        <v>5.3595057239057242</v>
      </c>
      <c r="AM44" s="6">
        <f t="shared" si="28"/>
        <v>6.3208290429042897</v>
      </c>
      <c r="AN44" s="6">
        <f t="shared" si="28"/>
        <v>6.3543340067340068</v>
      </c>
      <c r="AO44" s="6">
        <f t="shared" ref="AO44:AO48" si="29">AN44-AI44</f>
        <v>4.3637023569023574</v>
      </c>
      <c r="AP44" s="18"/>
      <c r="AQ44" s="15" t="s">
        <v>416</v>
      </c>
      <c r="AR44" s="15">
        <v>3903111.3111397405</v>
      </c>
      <c r="AS44" s="15">
        <v>5</v>
      </c>
      <c r="AT44" s="15">
        <v>780622.26222794806</v>
      </c>
      <c r="AU44" s="15">
        <v>6493.3991705239514</v>
      </c>
      <c r="AV44" s="15">
        <v>3.7281292232689994E-20</v>
      </c>
      <c r="AW44" s="15">
        <v>3.1058752390841229</v>
      </c>
      <c r="AX44" s="15" t="s">
        <v>416</v>
      </c>
      <c r="AY44" s="15">
        <v>762.00729747005403</v>
      </c>
      <c r="AZ44" s="15">
        <v>5</v>
      </c>
      <c r="BA44" s="15">
        <v>152.40145949401079</v>
      </c>
      <c r="BB44" s="15">
        <v>900.16044326109773</v>
      </c>
      <c r="BC44" s="15">
        <v>5.1659309112937861E-15</v>
      </c>
      <c r="BD44" s="15">
        <v>3.1058752390841229</v>
      </c>
      <c r="BE44" s="15"/>
      <c r="BF44" s="15"/>
      <c r="BG44" s="15"/>
      <c r="BH44" s="15"/>
      <c r="BI44" s="15"/>
      <c r="BJ44" s="15"/>
      <c r="BK44" s="15"/>
    </row>
    <row r="45" spans="1:63">
      <c r="A45" t="s">
        <v>67</v>
      </c>
      <c r="D45" s="2"/>
      <c r="E45" t="s">
        <v>109</v>
      </c>
      <c r="F45" t="s">
        <v>229</v>
      </c>
      <c r="G45" s="4">
        <v>10</v>
      </c>
      <c r="H45" s="4">
        <v>1</v>
      </c>
      <c r="I45" s="4">
        <v>500</v>
      </c>
      <c r="J45" s="4">
        <v>10</v>
      </c>
      <c r="K45" s="4">
        <f t="shared" si="25"/>
        <v>510</v>
      </c>
      <c r="L45" s="4" t="s">
        <v>83</v>
      </c>
      <c r="M45" s="4">
        <v>50.5</v>
      </c>
      <c r="N45">
        <v>34131</v>
      </c>
      <c r="O45" s="5">
        <f t="shared" si="26"/>
        <v>68.937861386138607</v>
      </c>
      <c r="P45" t="s">
        <v>229</v>
      </c>
      <c r="S45" s="6"/>
      <c r="T45" s="6"/>
      <c r="U45" s="6"/>
      <c r="V45" s="6"/>
      <c r="W45" s="6"/>
      <c r="AH45" t="s">
        <v>518</v>
      </c>
      <c r="AI45" s="6">
        <f>AVERAGE(AI28:AI30)/10</f>
        <v>1.6272686868686865</v>
      </c>
      <c r="AJ45" s="6">
        <f t="shared" ref="AJ45:AN45" si="30">AVERAGE(AJ28:AJ30)/10</f>
        <v>3.563260726072607</v>
      </c>
      <c r="AK45" s="6">
        <f t="shared" si="30"/>
        <v>6.9376633663366336</v>
      </c>
      <c r="AL45" s="6">
        <f t="shared" si="30"/>
        <v>8.4658181818181824</v>
      </c>
      <c r="AM45" s="6">
        <f t="shared" si="30"/>
        <v>9.6191947194719472</v>
      </c>
      <c r="AN45" s="6">
        <f t="shared" si="30"/>
        <v>10.230141414141412</v>
      </c>
      <c r="AO45" s="6">
        <f t="shared" si="29"/>
        <v>8.6028727272727252</v>
      </c>
      <c r="AP45" s="19"/>
      <c r="AQ45" s="15" t="s">
        <v>417</v>
      </c>
      <c r="AR45" s="15">
        <v>1442.6137837417928</v>
      </c>
      <c r="AS45" s="15">
        <v>12</v>
      </c>
      <c r="AT45" s="15">
        <v>120.21781531181607</v>
      </c>
      <c r="AU45" s="15"/>
      <c r="AV45" s="15"/>
      <c r="AW45" s="15"/>
      <c r="AX45" s="15" t="s">
        <v>417</v>
      </c>
      <c r="AY45" s="15">
        <v>2.0316572757881879</v>
      </c>
      <c r="AZ45" s="15">
        <v>12</v>
      </c>
      <c r="BA45" s="15">
        <v>0.169304772982349</v>
      </c>
      <c r="BB45" s="15"/>
      <c r="BC45" s="15"/>
      <c r="BD45" s="15"/>
      <c r="BE45" s="15"/>
      <c r="BF45" s="15"/>
      <c r="BG45" s="15"/>
      <c r="BH45" s="15"/>
      <c r="BI45" s="15"/>
      <c r="BJ45" s="15"/>
      <c r="BK45" s="15"/>
    </row>
    <row r="46" spans="1:63">
      <c r="A46" t="s">
        <v>68</v>
      </c>
      <c r="D46" s="2"/>
      <c r="E46" t="s">
        <v>110</v>
      </c>
      <c r="F46" t="s">
        <v>231</v>
      </c>
      <c r="G46" s="4">
        <v>10</v>
      </c>
      <c r="H46" s="4">
        <v>1</v>
      </c>
      <c r="I46" s="4">
        <v>500</v>
      </c>
      <c r="J46" s="4">
        <v>10</v>
      </c>
      <c r="K46" s="4">
        <f t="shared" si="25"/>
        <v>510</v>
      </c>
      <c r="L46" s="4" t="s">
        <v>83</v>
      </c>
      <c r="M46" s="4">
        <v>50.5</v>
      </c>
      <c r="N46">
        <v>29401</v>
      </c>
      <c r="O46" s="5">
        <f t="shared" si="26"/>
        <v>59.384198019801964</v>
      </c>
      <c r="P46" t="s">
        <v>231</v>
      </c>
      <c r="S46" s="6"/>
      <c r="T46" s="6"/>
      <c r="U46" s="6"/>
      <c r="V46" s="6"/>
      <c r="W46" s="6"/>
      <c r="AH46" t="s">
        <v>519</v>
      </c>
      <c r="AI46" s="6">
        <f>AVERAGE(AI31:AI33)/10</f>
        <v>1.655985185185185</v>
      </c>
      <c r="AJ46" s="6">
        <f t="shared" ref="AJ46:AN46" si="31">AVERAGE(AJ31:AJ33)/10</f>
        <v>1.8839062706270628</v>
      </c>
      <c r="AK46" s="6">
        <f t="shared" si="31"/>
        <v>3.4619260726072603</v>
      </c>
      <c r="AL46" s="6">
        <f t="shared" si="31"/>
        <v>3.8556202020202015</v>
      </c>
      <c r="AM46" s="6">
        <f t="shared" si="31"/>
        <v>3.9496396039603958</v>
      </c>
      <c r="AN46" s="6">
        <f t="shared" si="31"/>
        <v>4.1997521885521882</v>
      </c>
      <c r="AO46" s="6">
        <f t="shared" si="29"/>
        <v>2.5437670033670035</v>
      </c>
      <c r="AP46" s="15"/>
      <c r="AQ46" s="15"/>
      <c r="AR46" s="15"/>
      <c r="AS46" s="15"/>
      <c r="AT46" s="15"/>
      <c r="AU46" s="15"/>
      <c r="AV46" s="15"/>
      <c r="AW46" s="15"/>
      <c r="AX46" s="15"/>
      <c r="AY46" s="15"/>
      <c r="AZ46" s="15"/>
      <c r="BA46" s="15"/>
      <c r="BB46" s="15"/>
      <c r="BC46" s="15"/>
      <c r="BD46" s="15"/>
    </row>
    <row r="47" spans="1:63" ht="15.75" thickBot="1">
      <c r="A47" t="s">
        <v>69</v>
      </c>
      <c r="D47" s="2"/>
      <c r="E47" t="s">
        <v>111</v>
      </c>
      <c r="F47" t="s">
        <v>233</v>
      </c>
      <c r="G47" s="4">
        <v>100</v>
      </c>
      <c r="H47" s="4">
        <v>1</v>
      </c>
      <c r="I47" s="4">
        <v>500</v>
      </c>
      <c r="J47" s="4">
        <v>10</v>
      </c>
      <c r="K47" s="4">
        <f t="shared" si="25"/>
        <v>510</v>
      </c>
      <c r="L47" s="4" t="s">
        <v>83</v>
      </c>
      <c r="M47" s="4">
        <v>50.5</v>
      </c>
      <c r="N47">
        <v>4684</v>
      </c>
      <c r="O47" s="5">
        <f t="shared" si="26"/>
        <v>94.607524752475243</v>
      </c>
      <c r="P47" t="s">
        <v>233</v>
      </c>
      <c r="S47" s="6"/>
      <c r="T47" s="6"/>
      <c r="U47" s="6"/>
      <c r="V47" s="6"/>
      <c r="W47" s="6"/>
      <c r="AH47" t="s">
        <v>94</v>
      </c>
      <c r="AI47" s="6">
        <f>AVERAGE(AI34:AI36)/10</f>
        <v>0.41795959595959598</v>
      </c>
      <c r="AJ47" s="6">
        <f t="shared" ref="AJ47:AN47" si="32">AVERAGE(AJ34:AJ36)/10</f>
        <v>0.33548910891089107</v>
      </c>
      <c r="AK47" s="6">
        <f t="shared" si="32"/>
        <v>0.79883168316831688</v>
      </c>
      <c r="AL47" s="6">
        <f t="shared" si="32"/>
        <v>0.9729494949494949</v>
      </c>
      <c r="AM47" s="6">
        <f t="shared" si="32"/>
        <v>1.042621782178218</v>
      </c>
      <c r="AN47" s="6">
        <f t="shared" si="32"/>
        <v>1.1362868686868688</v>
      </c>
      <c r="AO47" s="6">
        <f t="shared" si="29"/>
        <v>0.71832727272727281</v>
      </c>
      <c r="AP47" s="15"/>
      <c r="AQ47" s="16" t="s">
        <v>418</v>
      </c>
      <c r="AR47" s="16">
        <v>3904553.9249234824</v>
      </c>
      <c r="AS47" s="16">
        <v>17</v>
      </c>
      <c r="AT47" s="16"/>
      <c r="AU47" s="16"/>
      <c r="AV47" s="16"/>
      <c r="AW47" s="16"/>
      <c r="AX47" s="16" t="s">
        <v>418</v>
      </c>
      <c r="AY47" s="16">
        <v>764.03895474584226</v>
      </c>
      <c r="AZ47" s="16">
        <v>17</v>
      </c>
      <c r="BA47" s="16"/>
      <c r="BB47" s="16"/>
      <c r="BC47" s="16"/>
      <c r="BD47" s="16"/>
    </row>
    <row r="48" spans="1:63">
      <c r="A48" t="s">
        <v>70</v>
      </c>
      <c r="D48" s="2"/>
      <c r="E48" t="s">
        <v>112</v>
      </c>
      <c r="F48" t="s">
        <v>235</v>
      </c>
      <c r="G48" s="4">
        <v>100</v>
      </c>
      <c r="H48" s="4">
        <v>1</v>
      </c>
      <c r="I48" s="4">
        <v>500</v>
      </c>
      <c r="J48" s="4">
        <v>10</v>
      </c>
      <c r="K48" s="4">
        <f t="shared" si="25"/>
        <v>510</v>
      </c>
      <c r="L48" s="4" t="s">
        <v>83</v>
      </c>
      <c r="M48" s="4">
        <v>50.5</v>
      </c>
      <c r="N48">
        <v>5105</v>
      </c>
      <c r="O48" s="5">
        <f t="shared" si="26"/>
        <v>103.1108910891089</v>
      </c>
      <c r="P48" t="s">
        <v>235</v>
      </c>
      <c r="AH48" t="s">
        <v>520</v>
      </c>
      <c r="AI48" s="6">
        <f>AVERAGE(AI37:AI39)/10</f>
        <v>0.42489696969696966</v>
      </c>
      <c r="AJ48" s="6">
        <f t="shared" ref="AJ48:AN48" si="33">AVERAGE(AJ37:AJ39)/10</f>
        <v>1.0352831683168318</v>
      </c>
      <c r="AK48" s="6">
        <f t="shared" si="33"/>
        <v>12.202431683168316</v>
      </c>
      <c r="AL48" s="6">
        <f t="shared" si="33"/>
        <v>14.023111111111112</v>
      </c>
      <c r="AM48" s="6">
        <f t="shared" si="33"/>
        <v>13.519466666666665</v>
      </c>
      <c r="AN48" s="6">
        <f t="shared" si="33"/>
        <v>13.159305050505051</v>
      </c>
      <c r="AO48" s="6">
        <f t="shared" si="29"/>
        <v>12.73440808080808</v>
      </c>
      <c r="AP48" s="15"/>
      <c r="AQ48" s="15"/>
      <c r="AR48" s="15"/>
      <c r="AS48" s="15"/>
      <c r="AT48" s="15"/>
      <c r="AU48" s="18"/>
      <c r="AV48" s="18"/>
    </row>
    <row r="49" spans="1:50">
      <c r="A49" t="s">
        <v>71</v>
      </c>
      <c r="D49" s="2"/>
      <c r="E49" t="s">
        <v>113</v>
      </c>
      <c r="F49" t="s">
        <v>237</v>
      </c>
      <c r="G49" s="4">
        <v>100</v>
      </c>
      <c r="H49" s="4">
        <v>1</v>
      </c>
      <c r="I49" s="4">
        <v>500</v>
      </c>
      <c r="J49" s="4">
        <v>10</v>
      </c>
      <c r="K49" s="4">
        <f t="shared" si="25"/>
        <v>510</v>
      </c>
      <c r="L49" s="4" t="s">
        <v>83</v>
      </c>
      <c r="M49" s="4">
        <v>50.5</v>
      </c>
      <c r="N49">
        <v>4575</v>
      </c>
      <c r="O49" s="5">
        <f t="shared" si="26"/>
        <v>92.405940594059402</v>
      </c>
      <c r="P49" t="s">
        <v>237</v>
      </c>
      <c r="AP49" s="15"/>
      <c r="AQ49" s="15"/>
      <c r="AR49" s="15"/>
      <c r="AS49" s="15"/>
      <c r="AT49" s="15"/>
      <c r="AU49" s="18"/>
      <c r="AV49" s="18"/>
    </row>
    <row r="50" spans="1:50">
      <c r="A50" t="s">
        <v>72</v>
      </c>
      <c r="D50" s="2"/>
      <c r="E50" t="s">
        <v>114</v>
      </c>
      <c r="F50" t="s">
        <v>239</v>
      </c>
      <c r="G50" s="4">
        <v>10</v>
      </c>
      <c r="H50" s="4">
        <v>1</v>
      </c>
      <c r="I50" s="4">
        <v>500</v>
      </c>
      <c r="J50" s="4">
        <v>10</v>
      </c>
      <c r="K50" s="4">
        <f t="shared" si="25"/>
        <v>510</v>
      </c>
      <c r="L50" s="4" t="s">
        <v>83</v>
      </c>
      <c r="M50" s="4">
        <v>50.5</v>
      </c>
      <c r="N50">
        <v>21074</v>
      </c>
      <c r="O50" s="5">
        <f t="shared" si="26"/>
        <v>42.565306930693069</v>
      </c>
      <c r="P50" t="s">
        <v>239</v>
      </c>
      <c r="AG50" t="s">
        <v>11</v>
      </c>
      <c r="AH50" t="s">
        <v>91</v>
      </c>
      <c r="AI50">
        <f>STDEV(AI22:AI24)/(SQRT(3))/10</f>
        <v>4.696644914491864E-2</v>
      </c>
      <c r="AJ50">
        <f t="shared" ref="AJ50:AN50" si="34">STDEV(AJ22:AJ24)/(SQRT(3))/10</f>
        <v>1.8349941724408776</v>
      </c>
      <c r="AK50">
        <f t="shared" si="34"/>
        <v>0.61424393956506773</v>
      </c>
      <c r="AL50">
        <f t="shared" si="34"/>
        <v>0.33208931116777923</v>
      </c>
      <c r="AM50">
        <f t="shared" si="34"/>
        <v>0.46070682040591382</v>
      </c>
      <c r="AN50">
        <f t="shared" si="34"/>
        <v>9.6190338918353394E-2</v>
      </c>
      <c r="AP50" s="15"/>
      <c r="AQ50" s="18" t="s">
        <v>428</v>
      </c>
      <c r="AR50" s="18"/>
      <c r="AS50" s="18"/>
      <c r="AT50" s="18"/>
      <c r="AU50" s="18"/>
      <c r="AV50" s="18"/>
      <c r="AW50" s="18"/>
      <c r="AX50" s="18"/>
    </row>
    <row r="51" spans="1:50">
      <c r="A51" t="s">
        <v>97</v>
      </c>
      <c r="D51" s="2"/>
      <c r="E51" t="s">
        <v>115</v>
      </c>
      <c r="F51" t="s">
        <v>241</v>
      </c>
      <c r="G51" s="4">
        <v>10</v>
      </c>
      <c r="H51" s="4">
        <v>1</v>
      </c>
      <c r="I51" s="4">
        <v>500</v>
      </c>
      <c r="J51" s="4">
        <v>10</v>
      </c>
      <c r="K51" s="4">
        <f t="shared" si="25"/>
        <v>510</v>
      </c>
      <c r="L51" s="4" t="s">
        <v>83</v>
      </c>
      <c r="M51" s="4">
        <v>50.5</v>
      </c>
      <c r="N51">
        <v>16558</v>
      </c>
      <c r="O51" s="5">
        <f t="shared" si="26"/>
        <v>33.443881188118809</v>
      </c>
      <c r="P51" t="s">
        <v>241</v>
      </c>
      <c r="AH51" t="s">
        <v>90</v>
      </c>
      <c r="AI51">
        <f>STDEV(AI25:AI27)/(SQRT(3))/10</f>
        <v>1.238967490527987E-2</v>
      </c>
      <c r="AJ51">
        <f t="shared" ref="AJ51:AN51" si="35">STDEV(AJ25:AJ27)/(SQRT(3))/10</f>
        <v>0.89968419055511251</v>
      </c>
      <c r="AK51">
        <f t="shared" si="35"/>
        <v>0.23839688097143702</v>
      </c>
      <c r="AL51">
        <f t="shared" si="35"/>
        <v>0.5095655995752566</v>
      </c>
      <c r="AM51">
        <f t="shared" si="35"/>
        <v>0.26459215318390539</v>
      </c>
      <c r="AN51">
        <f t="shared" si="35"/>
        <v>5.4275604161842704E-2</v>
      </c>
      <c r="AP51" s="15"/>
      <c r="AQ51" s="18"/>
      <c r="AR51" s="18"/>
      <c r="AS51" s="18"/>
      <c r="AT51" s="18"/>
      <c r="AU51" s="18"/>
      <c r="AV51" s="18"/>
      <c r="AW51" s="18"/>
      <c r="AX51" s="18"/>
    </row>
    <row r="52" spans="1:50">
      <c r="A52" t="s">
        <v>98</v>
      </c>
      <c r="D52" s="2"/>
      <c r="E52" t="s">
        <v>116</v>
      </c>
      <c r="F52" t="s">
        <v>243</v>
      </c>
      <c r="G52" s="4">
        <v>10</v>
      </c>
      <c r="H52" s="4">
        <v>1</v>
      </c>
      <c r="I52" s="4">
        <v>500</v>
      </c>
      <c r="J52" s="4">
        <v>10</v>
      </c>
      <c r="K52" s="4">
        <f t="shared" si="25"/>
        <v>510</v>
      </c>
      <c r="L52" s="4" t="s">
        <v>83</v>
      </c>
      <c r="M52" s="4">
        <v>50.5</v>
      </c>
      <c r="N52">
        <v>21270</v>
      </c>
      <c r="O52" s="5">
        <f t="shared" si="26"/>
        <v>42.961188118811883</v>
      </c>
      <c r="P52" t="s">
        <v>243</v>
      </c>
      <c r="AH52" t="s">
        <v>92</v>
      </c>
      <c r="AI52">
        <f>STDEV(AI28:AI30)/(SQRT(3))/10</f>
        <v>2.9068639717965677E-2</v>
      </c>
      <c r="AJ52">
        <f t="shared" ref="AJ52:AN52" si="36">STDEV(AJ28:AJ30)/(SQRT(3))/10</f>
        <v>1.7820441892151746</v>
      </c>
      <c r="AK52">
        <f t="shared" si="36"/>
        <v>0.14008472422471632</v>
      </c>
      <c r="AL52">
        <f t="shared" si="36"/>
        <v>0.17251706901478542</v>
      </c>
      <c r="AM52">
        <f t="shared" si="36"/>
        <v>0.32263808612532169</v>
      </c>
      <c r="AN52">
        <f t="shared" si="36"/>
        <v>0.17398211248599177</v>
      </c>
      <c r="AP52" s="15"/>
      <c r="AQ52" s="18"/>
      <c r="AR52" s="18"/>
      <c r="AS52" s="18"/>
      <c r="AT52" s="18"/>
      <c r="AU52" s="18"/>
      <c r="AV52" s="18"/>
      <c r="AW52" s="18"/>
      <c r="AX52" s="18"/>
    </row>
    <row r="53" spans="1:50">
      <c r="A53" t="s">
        <v>99</v>
      </c>
      <c r="D53" s="2"/>
      <c r="E53" t="s">
        <v>117</v>
      </c>
      <c r="F53" t="s">
        <v>327</v>
      </c>
      <c r="G53" s="4">
        <v>10</v>
      </c>
      <c r="H53" s="4">
        <v>1</v>
      </c>
      <c r="I53" s="4">
        <v>500</v>
      </c>
      <c r="J53" s="4">
        <v>10</v>
      </c>
      <c r="K53" s="4">
        <f t="shared" si="25"/>
        <v>510</v>
      </c>
      <c r="L53" s="4" t="s">
        <v>83</v>
      </c>
      <c r="M53" s="4">
        <v>50.5</v>
      </c>
      <c r="N53">
        <v>6063</v>
      </c>
      <c r="O53" s="5">
        <f t="shared" si="26"/>
        <v>12.246059405940594</v>
      </c>
      <c r="P53" t="s">
        <v>327</v>
      </c>
      <c r="AH53" t="s">
        <v>93</v>
      </c>
      <c r="AI53">
        <f>STDEV(AI31:AI33)/(SQRT(3))/10</f>
        <v>7.5753116217413593E-3</v>
      </c>
      <c r="AJ53">
        <f t="shared" ref="AJ53:AN53" si="37">STDEV(AJ31:AJ33)/(SQRT(3))/10</f>
        <v>0.94200207718560569</v>
      </c>
      <c r="AK53">
        <f t="shared" si="37"/>
        <v>0.15659844913948731</v>
      </c>
      <c r="AL53">
        <f t="shared" si="37"/>
        <v>0.28714987761871291</v>
      </c>
      <c r="AM53">
        <f t="shared" si="37"/>
        <v>0.3073337503536826</v>
      </c>
      <c r="AN53">
        <f t="shared" si="37"/>
        <v>0.32417489087518053</v>
      </c>
      <c r="AP53" s="15"/>
      <c r="AQ53" s="19"/>
      <c r="AR53" s="19"/>
      <c r="AS53" s="19"/>
      <c r="AT53" s="19"/>
      <c r="AU53" s="19"/>
      <c r="AV53" s="18"/>
      <c r="AW53" s="18"/>
      <c r="AX53" s="18"/>
    </row>
    <row r="54" spans="1:50">
      <c r="A54" t="s">
        <v>100</v>
      </c>
      <c r="D54" s="2"/>
      <c r="E54" t="s">
        <v>118</v>
      </c>
      <c r="F54" t="s">
        <v>328</v>
      </c>
      <c r="G54" s="4">
        <v>10</v>
      </c>
      <c r="H54" s="4">
        <v>1</v>
      </c>
      <c r="I54" s="4">
        <v>500</v>
      </c>
      <c r="J54" s="4">
        <v>10</v>
      </c>
      <c r="K54" s="4">
        <f t="shared" si="25"/>
        <v>510</v>
      </c>
      <c r="L54" s="4" t="s">
        <v>83</v>
      </c>
      <c r="M54" s="4">
        <v>50.5</v>
      </c>
      <c r="N54">
        <v>4719</v>
      </c>
      <c r="O54" s="5">
        <f t="shared" si="26"/>
        <v>9.5314455445544546</v>
      </c>
      <c r="P54" t="s">
        <v>328</v>
      </c>
      <c r="AH54" t="s">
        <v>94</v>
      </c>
      <c r="AI54">
        <f>STDEV(AI34:AI36)/(SQRT(3))/10</f>
        <v>1.0909109614649141E-2</v>
      </c>
      <c r="AJ54">
        <f t="shared" ref="AJ54:AN54" si="38">STDEV(AJ34:AJ36)/(SQRT(3))/10</f>
        <v>0.16776158794306142</v>
      </c>
      <c r="AK54">
        <f t="shared" si="38"/>
        <v>3.1735967886305623E-2</v>
      </c>
      <c r="AL54">
        <f t="shared" si="38"/>
        <v>8.2426846760203204E-2</v>
      </c>
      <c r="AM54">
        <f t="shared" si="38"/>
        <v>9.0996282361356901E-2</v>
      </c>
      <c r="AN54">
        <f t="shared" si="38"/>
        <v>8.2563759026965056E-2</v>
      </c>
      <c r="AP54" s="15"/>
      <c r="AQ54" s="15"/>
      <c r="AR54" s="15"/>
      <c r="AS54" s="15"/>
      <c r="AT54" s="15"/>
      <c r="AU54" s="15"/>
      <c r="AV54" s="18"/>
      <c r="AW54" s="18"/>
      <c r="AX54" s="18"/>
    </row>
    <row r="55" spans="1:50">
      <c r="A55" t="s">
        <v>101</v>
      </c>
      <c r="D55" s="2"/>
      <c r="E55" t="s">
        <v>119</v>
      </c>
      <c r="F55" t="s">
        <v>329</v>
      </c>
      <c r="G55" s="4">
        <v>10</v>
      </c>
      <c r="H55" s="4">
        <v>1</v>
      </c>
      <c r="I55" s="4">
        <v>500</v>
      </c>
      <c r="J55" s="4">
        <v>10</v>
      </c>
      <c r="K55" s="4">
        <f t="shared" si="25"/>
        <v>510</v>
      </c>
      <c r="L55" s="4" t="s">
        <v>83</v>
      </c>
      <c r="M55" s="4">
        <v>50.5</v>
      </c>
      <c r="N55">
        <v>4704</v>
      </c>
      <c r="O55" s="5">
        <f t="shared" si="26"/>
        <v>9.5011485148514847</v>
      </c>
      <c r="P55" t="s">
        <v>329</v>
      </c>
      <c r="AH55" t="s">
        <v>95</v>
      </c>
      <c r="AI55">
        <f>STDEV(AI37:AI39)/(SQRT(3))/10</f>
        <v>2.3160821018302019E-3</v>
      </c>
      <c r="AJ55">
        <f t="shared" ref="AJ55:AN55" si="39">STDEV(AJ37:AJ39)/(SQRT(3))/10</f>
        <v>0.51771062152749781</v>
      </c>
      <c r="AK55">
        <f t="shared" si="39"/>
        <v>5.9647571558810918E-2</v>
      </c>
      <c r="AL55">
        <f t="shared" si="39"/>
        <v>0.16981499983800771</v>
      </c>
      <c r="AM55">
        <f t="shared" si="39"/>
        <v>0.23778649620568842</v>
      </c>
      <c r="AN55">
        <f t="shared" si="39"/>
        <v>0.14999939913493837</v>
      </c>
      <c r="AP55" s="15"/>
      <c r="AQ55" s="15"/>
      <c r="AR55" s="15"/>
      <c r="AS55" s="15"/>
      <c r="AT55" s="15"/>
      <c r="AU55" s="15"/>
      <c r="AV55" s="18"/>
      <c r="AW55" s="18"/>
      <c r="AX55" s="18"/>
    </row>
    <row r="56" spans="1:50">
      <c r="A56" t="s">
        <v>102</v>
      </c>
      <c r="D56" s="2"/>
      <c r="E56" t="s">
        <v>120</v>
      </c>
      <c r="F56" t="s">
        <v>330</v>
      </c>
      <c r="G56" s="4">
        <v>20</v>
      </c>
      <c r="H56" s="4">
        <v>1</v>
      </c>
      <c r="I56" s="4">
        <v>1000</v>
      </c>
      <c r="J56" s="4">
        <v>10</v>
      </c>
      <c r="K56" s="4">
        <f t="shared" si="25"/>
        <v>1010</v>
      </c>
      <c r="L56" s="4" t="s">
        <v>83</v>
      </c>
      <c r="M56" s="4">
        <v>50.5</v>
      </c>
      <c r="N56">
        <v>32611</v>
      </c>
      <c r="O56" s="5">
        <f t="shared" si="26"/>
        <v>130.44399999999999</v>
      </c>
      <c r="P56" t="s">
        <v>330</v>
      </c>
      <c r="AP56" s="15"/>
      <c r="AQ56" s="15"/>
      <c r="AR56" s="15"/>
      <c r="AS56" s="15"/>
      <c r="AT56" s="15"/>
      <c r="AU56" s="15"/>
      <c r="AV56" s="18"/>
      <c r="AW56" s="18"/>
      <c r="AX56" s="18"/>
    </row>
    <row r="57" spans="1:50">
      <c r="A57" t="s">
        <v>103</v>
      </c>
      <c r="D57" s="2"/>
      <c r="E57" t="s">
        <v>331</v>
      </c>
      <c r="F57" t="s">
        <v>332</v>
      </c>
      <c r="G57" s="4">
        <v>20</v>
      </c>
      <c r="H57" s="4">
        <v>1</v>
      </c>
      <c r="I57" s="4">
        <v>1000</v>
      </c>
      <c r="J57" s="4">
        <v>10</v>
      </c>
      <c r="K57" s="4">
        <f t="shared" si="25"/>
        <v>1010</v>
      </c>
      <c r="L57" s="4" t="s">
        <v>83</v>
      </c>
      <c r="M57" s="4">
        <v>50.5</v>
      </c>
      <c r="N57">
        <v>34345</v>
      </c>
      <c r="O57" s="5">
        <f t="shared" si="26"/>
        <v>137.38</v>
      </c>
      <c r="P57" t="s">
        <v>332</v>
      </c>
      <c r="AP57" s="15"/>
      <c r="AQ57" s="15"/>
      <c r="AR57" s="15"/>
      <c r="AS57" s="15"/>
      <c r="AT57" s="15"/>
      <c r="AU57" s="15"/>
      <c r="AV57" s="18"/>
      <c r="AW57" s="18"/>
      <c r="AX57" s="18"/>
    </row>
    <row r="58" spans="1:50">
      <c r="A58" t="s">
        <v>104</v>
      </c>
      <c r="D58" s="2"/>
      <c r="E58" t="s">
        <v>333</v>
      </c>
      <c r="F58" t="s">
        <v>334</v>
      </c>
      <c r="G58" s="4">
        <v>20</v>
      </c>
      <c r="H58" s="4">
        <v>1</v>
      </c>
      <c r="I58" s="4">
        <v>1000</v>
      </c>
      <c r="J58" s="4">
        <v>10</v>
      </c>
      <c r="K58" s="4">
        <f t="shared" si="25"/>
        <v>1010</v>
      </c>
      <c r="L58" s="4" t="s">
        <v>83</v>
      </c>
      <c r="M58" s="4">
        <v>50.5</v>
      </c>
      <c r="N58">
        <v>34440</v>
      </c>
      <c r="O58" s="5">
        <f t="shared" si="26"/>
        <v>137.76</v>
      </c>
      <c r="P58" t="s">
        <v>334</v>
      </c>
      <c r="AP58" s="15"/>
      <c r="AQ58" s="15"/>
      <c r="AR58" s="15"/>
      <c r="AS58" s="15"/>
      <c r="AT58" s="15"/>
      <c r="AU58" s="15"/>
      <c r="AV58" s="18"/>
      <c r="AW58" s="18"/>
      <c r="AX58" s="18"/>
    </row>
    <row r="59" spans="1:50">
      <c r="A59" t="s">
        <v>105</v>
      </c>
      <c r="D59" s="2"/>
      <c r="E59" t="s">
        <v>122</v>
      </c>
      <c r="F59" t="s">
        <v>161</v>
      </c>
      <c r="G59" s="4">
        <v>10</v>
      </c>
      <c r="H59" s="4">
        <v>1</v>
      </c>
      <c r="I59" s="4">
        <v>500</v>
      </c>
      <c r="J59" s="4">
        <v>0</v>
      </c>
      <c r="K59" s="4">
        <f t="shared" si="25"/>
        <v>500</v>
      </c>
      <c r="L59" s="4" t="s">
        <v>83</v>
      </c>
      <c r="M59" s="4">
        <v>50.5</v>
      </c>
      <c r="N59">
        <v>141</v>
      </c>
      <c r="O59" s="5">
        <f t="shared" si="26"/>
        <v>0.27920792079207918</v>
      </c>
      <c r="P59" t="s">
        <v>161</v>
      </c>
      <c r="AP59" s="15"/>
      <c r="AQ59" s="18"/>
      <c r="AR59" s="18"/>
      <c r="AS59" s="18"/>
      <c r="AT59" s="18"/>
      <c r="AU59" s="18"/>
      <c r="AV59" s="18"/>
      <c r="AW59" s="18"/>
      <c r="AX59" s="18"/>
    </row>
    <row r="60" spans="1:50">
      <c r="A60" t="s">
        <v>106</v>
      </c>
      <c r="E60" t="s">
        <v>123</v>
      </c>
      <c r="F60" t="s">
        <v>161</v>
      </c>
      <c r="G60" s="4">
        <v>10</v>
      </c>
      <c r="H60" s="4">
        <v>1</v>
      </c>
      <c r="I60" s="4">
        <v>500</v>
      </c>
      <c r="J60" s="4">
        <v>0</v>
      </c>
      <c r="K60" s="4">
        <f t="shared" si="25"/>
        <v>500</v>
      </c>
      <c r="L60" s="4" t="s">
        <v>83</v>
      </c>
      <c r="M60" s="4">
        <v>50.5</v>
      </c>
      <c r="N60">
        <v>3513</v>
      </c>
      <c r="O60" s="5">
        <f t="shared" si="26"/>
        <v>6.9564356435643555</v>
      </c>
      <c r="P60" t="s">
        <v>161</v>
      </c>
      <c r="AP60" s="15"/>
      <c r="AQ60" s="18"/>
      <c r="AR60" s="18"/>
      <c r="AS60" s="18"/>
      <c r="AT60" s="18"/>
      <c r="AU60" s="18"/>
      <c r="AV60" s="18"/>
      <c r="AW60" s="18"/>
      <c r="AX60" s="18"/>
    </row>
    <row r="61" spans="1:50">
      <c r="A61" t="s">
        <v>107</v>
      </c>
      <c r="E61" t="s">
        <v>124</v>
      </c>
      <c r="F61" t="s">
        <v>163</v>
      </c>
      <c r="G61" s="4">
        <v>10</v>
      </c>
      <c r="H61" s="4">
        <v>1</v>
      </c>
      <c r="I61" s="4">
        <v>500</v>
      </c>
      <c r="J61" s="4">
        <v>0</v>
      </c>
      <c r="K61" s="4">
        <f t="shared" si="25"/>
        <v>500</v>
      </c>
      <c r="L61" s="4" t="s">
        <v>83</v>
      </c>
      <c r="M61" s="4">
        <v>50.5</v>
      </c>
      <c r="N61">
        <v>355</v>
      </c>
      <c r="O61" s="5">
        <f t="shared" si="26"/>
        <v>0.70297029702970293</v>
      </c>
      <c r="P61" t="s">
        <v>163</v>
      </c>
      <c r="AP61" s="15"/>
      <c r="AQ61" s="18"/>
      <c r="AR61" s="18"/>
      <c r="AS61" s="18"/>
      <c r="AT61" s="18"/>
      <c r="AU61" s="18"/>
      <c r="AV61" s="18"/>
      <c r="AW61" s="18"/>
      <c r="AX61" s="18"/>
    </row>
    <row r="62" spans="1:50">
      <c r="A62" t="s">
        <v>108</v>
      </c>
      <c r="D62" s="2"/>
      <c r="E62" t="s">
        <v>125</v>
      </c>
      <c r="F62" t="s">
        <v>163</v>
      </c>
      <c r="G62" s="4">
        <v>10</v>
      </c>
      <c r="H62" s="4">
        <v>1</v>
      </c>
      <c r="I62" s="4">
        <v>500</v>
      </c>
      <c r="J62" s="4">
        <v>0</v>
      </c>
      <c r="K62" s="4">
        <f t="shared" si="25"/>
        <v>500</v>
      </c>
      <c r="L62" s="4" t="s">
        <v>83</v>
      </c>
      <c r="M62" s="4">
        <v>50.5</v>
      </c>
      <c r="N62">
        <v>263</v>
      </c>
      <c r="O62" s="5">
        <f t="shared" si="26"/>
        <v>0.52079207920792081</v>
      </c>
      <c r="P62" t="s">
        <v>163</v>
      </c>
      <c r="AP62" s="15"/>
      <c r="AQ62" s="18"/>
      <c r="AR62" s="18"/>
      <c r="AS62" s="18"/>
      <c r="AT62" s="18"/>
      <c r="AU62" s="18"/>
      <c r="AV62" s="18"/>
      <c r="AW62" s="18"/>
      <c r="AX62" s="18"/>
    </row>
    <row r="63" spans="1:50">
      <c r="A63" t="s">
        <v>109</v>
      </c>
      <c r="D63" s="2"/>
      <c r="E63" t="s">
        <v>126</v>
      </c>
      <c r="F63" t="s">
        <v>165</v>
      </c>
      <c r="G63" s="4">
        <v>10</v>
      </c>
      <c r="H63" s="4">
        <v>1</v>
      </c>
      <c r="I63" s="4">
        <v>500</v>
      </c>
      <c r="J63" s="4">
        <v>0</v>
      </c>
      <c r="K63" s="4">
        <f t="shared" si="25"/>
        <v>500</v>
      </c>
      <c r="L63" s="4" t="s">
        <v>83</v>
      </c>
      <c r="M63" s="4">
        <v>50.5</v>
      </c>
      <c r="N63">
        <v>0</v>
      </c>
      <c r="O63" s="5">
        <f t="shared" si="26"/>
        <v>0</v>
      </c>
      <c r="P63" t="s">
        <v>165</v>
      </c>
      <c r="AP63" s="15"/>
      <c r="AQ63" s="18"/>
      <c r="AR63" s="18"/>
      <c r="AS63" s="18"/>
      <c r="AT63" s="18"/>
      <c r="AU63" s="18"/>
      <c r="AV63" s="18"/>
      <c r="AW63" s="18"/>
      <c r="AX63" s="18"/>
    </row>
    <row r="64" spans="1:50">
      <c r="A64" t="s">
        <v>110</v>
      </c>
      <c r="D64" s="2"/>
      <c r="E64" t="s">
        <v>127</v>
      </c>
      <c r="F64" t="s">
        <v>165</v>
      </c>
      <c r="G64" s="4">
        <v>10</v>
      </c>
      <c r="H64" s="4">
        <v>1</v>
      </c>
      <c r="I64" s="4">
        <v>500</v>
      </c>
      <c r="J64" s="4">
        <v>0</v>
      </c>
      <c r="K64" s="4">
        <f t="shared" si="25"/>
        <v>500</v>
      </c>
      <c r="L64" s="4" t="s">
        <v>83</v>
      </c>
      <c r="M64" s="4">
        <v>50.5</v>
      </c>
      <c r="N64">
        <v>990</v>
      </c>
      <c r="O64" s="5">
        <f t="shared" si="26"/>
        <v>1.9603960396039601</v>
      </c>
      <c r="P64" t="s">
        <v>165</v>
      </c>
      <c r="AP64" s="18"/>
      <c r="AQ64" s="18"/>
      <c r="AR64" s="18"/>
      <c r="AS64" s="18"/>
      <c r="AT64" s="18"/>
      <c r="AU64" s="18"/>
      <c r="AV64" s="18"/>
      <c r="AW64" s="18"/>
      <c r="AX64" s="18"/>
    </row>
    <row r="65" spans="1:50">
      <c r="A65" t="s">
        <v>111</v>
      </c>
      <c r="D65" s="2"/>
      <c r="E65" t="s">
        <v>128</v>
      </c>
      <c r="F65" t="s">
        <v>167</v>
      </c>
      <c r="G65" s="4">
        <v>10</v>
      </c>
      <c r="H65" s="4">
        <v>1</v>
      </c>
      <c r="I65" s="4">
        <v>500</v>
      </c>
      <c r="J65" s="4">
        <v>0</v>
      </c>
      <c r="K65" s="4">
        <f t="shared" si="25"/>
        <v>500</v>
      </c>
      <c r="L65" s="4" t="s">
        <v>83</v>
      </c>
      <c r="M65" s="4">
        <v>50.5</v>
      </c>
      <c r="N65">
        <v>52</v>
      </c>
      <c r="O65" s="5">
        <f t="shared" si="26"/>
        <v>0.10297029702970296</v>
      </c>
      <c r="P65" t="s">
        <v>167</v>
      </c>
      <c r="AP65" s="18"/>
      <c r="AQ65" s="18"/>
      <c r="AR65" s="18"/>
      <c r="AS65" s="18"/>
      <c r="AT65" s="18"/>
      <c r="AU65" s="18"/>
      <c r="AV65" s="18"/>
      <c r="AW65" s="18"/>
      <c r="AX65" s="18"/>
    </row>
    <row r="66" spans="1:50">
      <c r="A66" t="s">
        <v>112</v>
      </c>
      <c r="D66" s="2"/>
      <c r="E66" t="s">
        <v>335</v>
      </c>
      <c r="F66" t="s">
        <v>167</v>
      </c>
      <c r="G66" s="4">
        <v>10</v>
      </c>
      <c r="H66" s="4">
        <v>1</v>
      </c>
      <c r="I66" s="4">
        <v>500</v>
      </c>
      <c r="J66" s="4">
        <v>0</v>
      </c>
      <c r="K66" s="4">
        <f t="shared" si="25"/>
        <v>500</v>
      </c>
      <c r="L66" s="4" t="s">
        <v>83</v>
      </c>
      <c r="M66" s="4">
        <v>50.5</v>
      </c>
      <c r="N66">
        <v>5</v>
      </c>
      <c r="O66" s="5">
        <f t="shared" si="26"/>
        <v>9.9009900990099011E-3</v>
      </c>
      <c r="P66" t="s">
        <v>167</v>
      </c>
      <c r="AP66" s="18"/>
      <c r="AQ66" s="18"/>
      <c r="AR66" s="18"/>
      <c r="AS66" s="18"/>
      <c r="AT66" s="18"/>
      <c r="AU66" s="18"/>
      <c r="AV66" s="18"/>
      <c r="AW66" s="18"/>
      <c r="AX66" s="18"/>
    </row>
    <row r="67" spans="1:50">
      <c r="A67" t="s">
        <v>113</v>
      </c>
      <c r="D67" s="2"/>
      <c r="E67" t="s">
        <v>336</v>
      </c>
      <c r="F67" t="s">
        <v>169</v>
      </c>
      <c r="G67" s="4">
        <v>10</v>
      </c>
      <c r="H67" s="4">
        <v>1</v>
      </c>
      <c r="I67" s="4">
        <v>500</v>
      </c>
      <c r="J67" s="4">
        <v>0</v>
      </c>
      <c r="K67" s="4">
        <f t="shared" si="25"/>
        <v>500</v>
      </c>
      <c r="L67" s="4" t="s">
        <v>83</v>
      </c>
      <c r="M67" s="4">
        <v>50.5</v>
      </c>
      <c r="N67">
        <v>4</v>
      </c>
      <c r="O67" s="5">
        <f t="shared" si="26"/>
        <v>7.9207920792079209E-3</v>
      </c>
      <c r="P67" t="s">
        <v>169</v>
      </c>
      <c r="AP67" s="18"/>
      <c r="AQ67" s="18"/>
      <c r="AR67" s="18"/>
      <c r="AS67" s="18"/>
      <c r="AT67" s="18"/>
      <c r="AU67" s="18"/>
      <c r="AV67" s="18"/>
    </row>
    <row r="68" spans="1:50">
      <c r="A68" t="s">
        <v>114</v>
      </c>
      <c r="D68" s="2"/>
      <c r="E68" t="s">
        <v>337</v>
      </c>
      <c r="F68" t="s">
        <v>169</v>
      </c>
      <c r="G68" s="4">
        <v>10</v>
      </c>
      <c r="H68" s="4">
        <v>1</v>
      </c>
      <c r="I68" s="4">
        <v>500</v>
      </c>
      <c r="J68" s="4">
        <v>0</v>
      </c>
      <c r="K68" s="4">
        <f t="shared" ref="K68" si="40">I68+J68</f>
        <v>500</v>
      </c>
      <c r="L68" s="4" t="s">
        <v>83</v>
      </c>
      <c r="M68" s="4">
        <v>50.5</v>
      </c>
      <c r="N68">
        <v>772</v>
      </c>
      <c r="O68" s="5">
        <f t="shared" ref="O68" si="41">((((N68)/((M68*H68)/1000))*G68)*(K68/I68))/100000</f>
        <v>1.5287128712871287</v>
      </c>
      <c r="P68" t="s">
        <v>169</v>
      </c>
      <c r="AP68" s="18"/>
      <c r="AQ68" s="18"/>
      <c r="AR68" s="18"/>
      <c r="AS68" s="18"/>
      <c r="AT68" s="18"/>
      <c r="AU68" s="18"/>
      <c r="AV68" s="18"/>
    </row>
    <row r="69" spans="1:50">
      <c r="A69" t="s">
        <v>115</v>
      </c>
      <c r="D69" s="2"/>
      <c r="E69" t="s">
        <v>338</v>
      </c>
      <c r="F69" t="s">
        <v>171</v>
      </c>
      <c r="G69" s="4">
        <v>10</v>
      </c>
      <c r="H69" s="4">
        <v>1</v>
      </c>
      <c r="I69" s="4">
        <v>500</v>
      </c>
      <c r="J69" s="4">
        <v>0</v>
      </c>
      <c r="K69" s="4">
        <f t="shared" ref="K69:K101" si="42">I69+J69</f>
        <v>500</v>
      </c>
      <c r="L69" s="4" t="s">
        <v>83</v>
      </c>
      <c r="M69" s="4">
        <v>50.5</v>
      </c>
      <c r="N69">
        <v>39</v>
      </c>
      <c r="O69" s="5">
        <f t="shared" ref="O69:O104" si="43">((((N69)/((M69*H69)/1000))*G69)*(K69/I69))/100000</f>
        <v>7.7227722772277227E-2</v>
      </c>
      <c r="P69" t="s">
        <v>171</v>
      </c>
      <c r="AP69" s="18"/>
      <c r="AQ69" s="18"/>
      <c r="AR69" s="18"/>
      <c r="AS69" s="18"/>
      <c r="AT69" s="18"/>
      <c r="AU69" s="18"/>
      <c r="AV69" s="18"/>
    </row>
    <row r="70" spans="1:50">
      <c r="A70" t="s">
        <v>116</v>
      </c>
      <c r="D70" s="2"/>
      <c r="E70" t="s">
        <v>339</v>
      </c>
      <c r="F70" t="s">
        <v>171</v>
      </c>
      <c r="G70" s="4">
        <v>10</v>
      </c>
      <c r="H70" s="4">
        <v>1</v>
      </c>
      <c r="I70" s="4">
        <v>500</v>
      </c>
      <c r="J70" s="4">
        <v>0</v>
      </c>
      <c r="K70" s="4">
        <f t="shared" si="42"/>
        <v>500</v>
      </c>
      <c r="L70" s="4" t="s">
        <v>83</v>
      </c>
      <c r="M70" s="4">
        <v>50.5</v>
      </c>
      <c r="N70">
        <v>27</v>
      </c>
      <c r="O70" s="5">
        <f t="shared" si="43"/>
        <v>5.3465346534653464E-2</v>
      </c>
      <c r="P70" t="s">
        <v>171</v>
      </c>
      <c r="AP70" s="18"/>
      <c r="AQ70" s="18"/>
      <c r="AR70" s="18"/>
      <c r="AS70" s="18"/>
      <c r="AT70" s="18"/>
      <c r="AU70" s="18"/>
      <c r="AV70" s="18"/>
    </row>
    <row r="71" spans="1:50">
      <c r="A71" t="s">
        <v>117</v>
      </c>
      <c r="D71" s="2"/>
      <c r="E71" t="s">
        <v>340</v>
      </c>
      <c r="F71" t="s">
        <v>173</v>
      </c>
      <c r="G71" s="4">
        <v>10</v>
      </c>
      <c r="H71" s="4">
        <v>1</v>
      </c>
      <c r="I71" s="4">
        <v>500</v>
      </c>
      <c r="J71" s="4">
        <v>0</v>
      </c>
      <c r="K71" s="4">
        <f t="shared" si="42"/>
        <v>500</v>
      </c>
      <c r="L71" s="4" t="s">
        <v>83</v>
      </c>
      <c r="M71" s="4">
        <v>50.5</v>
      </c>
      <c r="N71">
        <v>0</v>
      </c>
      <c r="O71" s="5">
        <f t="shared" si="43"/>
        <v>0</v>
      </c>
      <c r="P71" t="s">
        <v>173</v>
      </c>
      <c r="AP71" s="18"/>
      <c r="AQ71" s="18"/>
      <c r="AR71" s="18"/>
      <c r="AS71" s="18"/>
      <c r="AT71" s="18"/>
      <c r="AU71" s="18"/>
      <c r="AV71" s="18"/>
    </row>
    <row r="72" spans="1:50">
      <c r="A72" t="s">
        <v>118</v>
      </c>
      <c r="D72" s="2"/>
      <c r="E72" t="s">
        <v>136</v>
      </c>
      <c r="F72" t="s">
        <v>173</v>
      </c>
      <c r="G72" s="4">
        <v>10</v>
      </c>
      <c r="H72" s="4">
        <v>1</v>
      </c>
      <c r="I72" s="4">
        <v>500</v>
      </c>
      <c r="J72" s="4">
        <v>0</v>
      </c>
      <c r="K72" s="4">
        <f t="shared" si="42"/>
        <v>500</v>
      </c>
      <c r="L72" s="4" t="s">
        <v>83</v>
      </c>
      <c r="M72" s="4">
        <v>50.5</v>
      </c>
      <c r="N72">
        <v>108</v>
      </c>
      <c r="O72" s="5">
        <f t="shared" si="43"/>
        <v>0.21386138613861386</v>
      </c>
      <c r="P72" t="s">
        <v>173</v>
      </c>
      <c r="AP72" s="18"/>
      <c r="AQ72" s="18"/>
      <c r="AR72" s="18"/>
      <c r="AS72" s="18"/>
      <c r="AT72" s="18"/>
      <c r="AU72" s="18"/>
      <c r="AV72" s="18"/>
    </row>
    <row r="73" spans="1:50">
      <c r="A73" t="s">
        <v>119</v>
      </c>
      <c r="D73" s="2"/>
      <c r="E73" t="s">
        <v>138</v>
      </c>
      <c r="F73" t="s">
        <v>175</v>
      </c>
      <c r="G73" s="4">
        <v>10</v>
      </c>
      <c r="H73" s="4">
        <v>1</v>
      </c>
      <c r="I73" s="4">
        <v>500</v>
      </c>
      <c r="J73" s="4">
        <v>0</v>
      </c>
      <c r="K73" s="4">
        <f t="shared" si="42"/>
        <v>500</v>
      </c>
      <c r="L73" s="4" t="s">
        <v>83</v>
      </c>
      <c r="M73" s="4">
        <v>50.5</v>
      </c>
      <c r="N73">
        <v>22</v>
      </c>
      <c r="O73" s="5">
        <f t="shared" si="43"/>
        <v>4.3564356435643561E-2</v>
      </c>
      <c r="P73" t="s">
        <v>175</v>
      </c>
      <c r="AP73" s="18"/>
      <c r="AQ73" s="18" t="s">
        <v>491</v>
      </c>
      <c r="AR73" s="18"/>
      <c r="AS73" s="18"/>
      <c r="AT73" s="18"/>
      <c r="AU73" s="18"/>
      <c r="AV73" s="18"/>
    </row>
    <row r="74" spans="1:50">
      <c r="A74" t="s">
        <v>120</v>
      </c>
      <c r="D74" s="2"/>
      <c r="E74" t="s">
        <v>140</v>
      </c>
      <c r="F74" t="s">
        <v>175</v>
      </c>
      <c r="G74" s="4">
        <v>10</v>
      </c>
      <c r="H74" s="4">
        <v>1</v>
      </c>
      <c r="I74" s="4">
        <v>500</v>
      </c>
      <c r="J74" s="4">
        <v>0</v>
      </c>
      <c r="K74" s="4">
        <f t="shared" si="42"/>
        <v>500</v>
      </c>
      <c r="L74" s="4" t="s">
        <v>83</v>
      </c>
      <c r="M74" s="4">
        <v>50.5</v>
      </c>
      <c r="N74">
        <v>0</v>
      </c>
      <c r="O74" s="5">
        <f t="shared" si="43"/>
        <v>0</v>
      </c>
      <c r="P74" t="s">
        <v>175</v>
      </c>
      <c r="AP74" s="18"/>
      <c r="AQ74" s="18"/>
      <c r="AR74" s="18" t="s">
        <v>275</v>
      </c>
      <c r="AS74" s="18" t="s">
        <v>276</v>
      </c>
      <c r="AT74" s="18" t="s">
        <v>508</v>
      </c>
      <c r="AU74" s="34" t="s">
        <v>509</v>
      </c>
      <c r="AV74" s="18"/>
    </row>
    <row r="75" spans="1:50">
      <c r="A75" s="2"/>
      <c r="B75" s="2"/>
      <c r="C75" s="2"/>
      <c r="D75" s="2"/>
      <c r="E75" t="s">
        <v>172</v>
      </c>
      <c r="F75" t="s">
        <v>341</v>
      </c>
      <c r="G75" s="4">
        <v>10</v>
      </c>
      <c r="H75" s="4">
        <v>1</v>
      </c>
      <c r="I75" s="4">
        <v>500</v>
      </c>
      <c r="J75" s="4">
        <v>0</v>
      </c>
      <c r="K75" s="4">
        <f t="shared" si="42"/>
        <v>500</v>
      </c>
      <c r="L75" s="4" t="s">
        <v>83</v>
      </c>
      <c r="M75" s="4">
        <v>50.5</v>
      </c>
      <c r="N75">
        <v>115</v>
      </c>
      <c r="O75" s="5">
        <f t="shared" si="43"/>
        <v>0.2277227722772277</v>
      </c>
      <c r="P75" t="s">
        <v>341</v>
      </c>
      <c r="AQ75" t="str">
        <f>AH43</f>
        <v>Syn+Bac+lysate</v>
      </c>
      <c r="AR75">
        <f>AI43*100000000*0.000000000000000414*1000000</f>
        <v>7.6091917575757562E-2</v>
      </c>
      <c r="AS75">
        <f>AN43*100000000*0.000000000000000414*1000000</f>
        <v>0.56419083636363643</v>
      </c>
      <c r="AT75">
        <f>AI50*100000000*0.000000000000000414*1000000</f>
        <v>1.9444109945996318E-3</v>
      </c>
      <c r="AU75">
        <f>AN50*100000000*0.000000000000000414*1000000</f>
        <v>3.9822800312198309E-3</v>
      </c>
    </row>
    <row r="76" spans="1:50">
      <c r="A76" s="2"/>
      <c r="B76" s="2"/>
      <c r="C76" s="2"/>
      <c r="D76" s="2"/>
      <c r="E76" t="s">
        <v>174</v>
      </c>
      <c r="F76" t="s">
        <v>342</v>
      </c>
      <c r="G76" s="4">
        <v>10</v>
      </c>
      <c r="H76" s="4">
        <v>1</v>
      </c>
      <c r="I76" s="4">
        <v>500</v>
      </c>
      <c r="J76" s="4">
        <v>0</v>
      </c>
      <c r="K76" s="4">
        <f t="shared" si="42"/>
        <v>500</v>
      </c>
      <c r="L76" s="4" t="s">
        <v>83</v>
      </c>
      <c r="M76" s="4">
        <v>50.5</v>
      </c>
      <c r="N76">
        <v>170</v>
      </c>
      <c r="O76" s="5">
        <f t="shared" si="43"/>
        <v>0.3366336633663366</v>
      </c>
      <c r="P76" t="s">
        <v>342</v>
      </c>
      <c r="AQ76" t="str">
        <f t="shared" ref="AQ76:AQ80" si="44">AH44</f>
        <v>Syn+Bac</v>
      </c>
      <c r="AR76">
        <f t="shared" ref="AR76:AR80" si="45">AI44*100000000*0.000000000000000414*1000000</f>
        <v>8.2412150303030299E-2</v>
      </c>
      <c r="AS76">
        <f t="shared" ref="AS76:AS80" si="46">AN44*100000000*0.000000000000000414*1000000</f>
        <v>0.26306942787878784</v>
      </c>
      <c r="AT76">
        <f t="shared" ref="AT76:AT80" si="47">AI51*100000000*0.000000000000000414*1000000</f>
        <v>5.1293254107858668E-4</v>
      </c>
      <c r="AU76">
        <f t="shared" ref="AU76:AU80" si="48">AN51*100000000*0.000000000000000414*1000000</f>
        <v>2.2470100123002882E-3</v>
      </c>
    </row>
    <row r="77" spans="1:50">
      <c r="A77" s="2"/>
      <c r="B77" s="2"/>
      <c r="C77" s="2"/>
      <c r="D77" s="2"/>
      <c r="E77" t="s">
        <v>176</v>
      </c>
      <c r="F77" t="s">
        <v>177</v>
      </c>
      <c r="G77" s="4">
        <v>10</v>
      </c>
      <c r="H77" s="4">
        <v>1</v>
      </c>
      <c r="I77" s="4">
        <v>500</v>
      </c>
      <c r="J77" s="4">
        <v>0</v>
      </c>
      <c r="K77" s="4">
        <f t="shared" si="42"/>
        <v>500</v>
      </c>
      <c r="L77" s="4" t="s">
        <v>83</v>
      </c>
      <c r="M77" s="4">
        <v>50.5</v>
      </c>
      <c r="N77">
        <v>89</v>
      </c>
      <c r="O77" s="5">
        <f t="shared" si="43"/>
        <v>0.17623762376237626</v>
      </c>
      <c r="P77" t="s">
        <v>177</v>
      </c>
      <c r="AQ77" t="str">
        <f t="shared" si="44"/>
        <v>Syn+lysate</v>
      </c>
      <c r="AR77">
        <f t="shared" si="45"/>
        <v>6.736892363636364E-2</v>
      </c>
      <c r="AS77">
        <f t="shared" si="46"/>
        <v>0.4235278545454545</v>
      </c>
      <c r="AT77">
        <f t="shared" si="47"/>
        <v>1.203441684323779E-3</v>
      </c>
      <c r="AU77">
        <f t="shared" si="48"/>
        <v>7.2028594569200589E-3</v>
      </c>
    </row>
    <row r="78" spans="1:50">
      <c r="A78" s="2"/>
      <c r="B78" s="2"/>
      <c r="C78" s="2"/>
      <c r="D78" s="2"/>
      <c r="E78" t="s">
        <v>178</v>
      </c>
      <c r="F78" t="s">
        <v>177</v>
      </c>
      <c r="G78" s="4">
        <v>10</v>
      </c>
      <c r="H78" s="4">
        <v>1</v>
      </c>
      <c r="I78" s="4">
        <v>500</v>
      </c>
      <c r="J78" s="4">
        <v>0</v>
      </c>
      <c r="K78" s="4">
        <f t="shared" si="42"/>
        <v>500</v>
      </c>
      <c r="L78" s="4" t="s">
        <v>83</v>
      </c>
      <c r="M78" s="4">
        <v>50.5</v>
      </c>
      <c r="N78">
        <v>8232</v>
      </c>
      <c r="O78" s="5">
        <f t="shared" si="43"/>
        <v>16.300990099009898</v>
      </c>
      <c r="P78" t="s">
        <v>177</v>
      </c>
      <c r="AQ78" t="str">
        <f t="shared" si="44"/>
        <v>Syn</v>
      </c>
      <c r="AR78">
        <f t="shared" si="45"/>
        <v>6.8557786666666662E-2</v>
      </c>
      <c r="AS78">
        <f t="shared" si="46"/>
        <v>0.17386974060606061</v>
      </c>
      <c r="AT78">
        <f t="shared" si="47"/>
        <v>3.1361790114009226E-4</v>
      </c>
      <c r="AU78">
        <f t="shared" si="48"/>
        <v>1.3420840482232474E-2</v>
      </c>
    </row>
    <row r="79" spans="1:50">
      <c r="A79" s="2"/>
      <c r="B79" s="2"/>
      <c r="C79" s="2"/>
      <c r="D79" s="2"/>
      <c r="E79" t="s">
        <v>180</v>
      </c>
      <c r="F79" t="s">
        <v>179</v>
      </c>
      <c r="G79" s="4">
        <v>10</v>
      </c>
      <c r="H79" s="4">
        <v>1</v>
      </c>
      <c r="I79" s="4">
        <v>500</v>
      </c>
      <c r="J79" s="4">
        <v>0</v>
      </c>
      <c r="K79" s="4">
        <f t="shared" si="42"/>
        <v>500</v>
      </c>
      <c r="L79" s="4" t="s">
        <v>83</v>
      </c>
      <c r="M79" s="4">
        <v>50.5</v>
      </c>
      <c r="N79">
        <v>1215</v>
      </c>
      <c r="O79" s="5">
        <f t="shared" si="43"/>
        <v>2.4059405940594059</v>
      </c>
      <c r="P79" t="s">
        <v>179</v>
      </c>
      <c r="AQ79" t="str">
        <f t="shared" si="44"/>
        <v>Bac</v>
      </c>
      <c r="AR79">
        <f t="shared" si="45"/>
        <v>1.7303527272727274E-2</v>
      </c>
      <c r="AS79">
        <f t="shared" si="46"/>
        <v>4.7042276363636372E-2</v>
      </c>
      <c r="AT79">
        <f t="shared" si="47"/>
        <v>4.5163713804647444E-4</v>
      </c>
      <c r="AU79">
        <f t="shared" si="48"/>
        <v>3.418139623716353E-3</v>
      </c>
    </row>
    <row r="80" spans="1:50">
      <c r="A80" s="2"/>
      <c r="B80" s="2"/>
      <c r="C80" s="2"/>
      <c r="D80" s="2"/>
      <c r="E80" t="s">
        <v>182</v>
      </c>
      <c r="F80" t="s">
        <v>181</v>
      </c>
      <c r="G80" s="4">
        <v>10</v>
      </c>
      <c r="H80" s="4">
        <v>1</v>
      </c>
      <c r="I80" s="4">
        <v>500</v>
      </c>
      <c r="J80" s="4">
        <v>0</v>
      </c>
      <c r="K80" s="4">
        <f t="shared" si="42"/>
        <v>500</v>
      </c>
      <c r="L80" s="4" t="s">
        <v>83</v>
      </c>
      <c r="M80" s="4">
        <v>50.5</v>
      </c>
      <c r="N80">
        <v>870</v>
      </c>
      <c r="O80" s="5">
        <f t="shared" si="43"/>
        <v>1.7227722772277225</v>
      </c>
      <c r="P80" t="s">
        <v>181</v>
      </c>
      <c r="AQ80" t="str">
        <f t="shared" si="44"/>
        <v>Bac+lysate</v>
      </c>
      <c r="AR80">
        <f t="shared" si="45"/>
        <v>1.7590734545454546E-2</v>
      </c>
      <c r="AS80">
        <f t="shared" si="46"/>
        <v>0.54479522909090916</v>
      </c>
      <c r="AT80">
        <f t="shared" si="47"/>
        <v>9.5885799015770358E-5</v>
      </c>
      <c r="AU80">
        <f t="shared" si="48"/>
        <v>6.2099751241864488E-3</v>
      </c>
    </row>
    <row r="81" spans="1:16">
      <c r="A81" s="2"/>
      <c r="B81" s="2"/>
      <c r="C81" s="2"/>
      <c r="D81" s="2"/>
      <c r="E81" t="s">
        <v>184</v>
      </c>
      <c r="F81" t="s">
        <v>183</v>
      </c>
      <c r="G81" s="4">
        <v>10</v>
      </c>
      <c r="H81" s="4">
        <v>1</v>
      </c>
      <c r="I81" s="4">
        <v>500</v>
      </c>
      <c r="J81" s="4">
        <v>0</v>
      </c>
      <c r="K81" s="4">
        <f t="shared" si="42"/>
        <v>500</v>
      </c>
      <c r="L81" s="4" t="s">
        <v>83</v>
      </c>
      <c r="M81" s="4">
        <v>50.5</v>
      </c>
      <c r="N81">
        <v>291</v>
      </c>
      <c r="O81" s="5">
        <f t="shared" si="43"/>
        <v>0.57623762376237619</v>
      </c>
      <c r="P81" t="s">
        <v>183</v>
      </c>
    </row>
    <row r="82" spans="1:16">
      <c r="A82" s="2"/>
      <c r="B82" s="2"/>
      <c r="C82" s="2"/>
      <c r="D82" s="2"/>
      <c r="E82" t="s">
        <v>186</v>
      </c>
      <c r="F82" t="s">
        <v>185</v>
      </c>
      <c r="G82" s="4">
        <v>10</v>
      </c>
      <c r="H82" s="4">
        <v>1</v>
      </c>
      <c r="I82" s="4">
        <v>500</v>
      </c>
      <c r="J82" s="4">
        <v>0</v>
      </c>
      <c r="K82" s="4">
        <f t="shared" si="42"/>
        <v>500</v>
      </c>
      <c r="L82" s="4" t="s">
        <v>83</v>
      </c>
      <c r="M82" s="4">
        <v>50.5</v>
      </c>
      <c r="N82">
        <v>199</v>
      </c>
      <c r="O82" s="5">
        <f t="shared" si="43"/>
        <v>0.39405940594059402</v>
      </c>
      <c r="P82" t="s">
        <v>185</v>
      </c>
    </row>
    <row r="83" spans="1:16">
      <c r="A83" s="2"/>
      <c r="B83" s="2"/>
      <c r="C83" s="2"/>
      <c r="D83" s="2"/>
      <c r="E83" t="s">
        <v>188</v>
      </c>
      <c r="F83" t="s">
        <v>309</v>
      </c>
      <c r="G83" s="4">
        <v>10</v>
      </c>
      <c r="H83" s="4">
        <v>1</v>
      </c>
      <c r="I83" s="4">
        <v>500</v>
      </c>
      <c r="J83" s="4">
        <v>0</v>
      </c>
      <c r="K83" s="4">
        <f t="shared" si="42"/>
        <v>500</v>
      </c>
      <c r="L83" s="4" t="s">
        <v>83</v>
      </c>
      <c r="M83" s="4">
        <v>50.5</v>
      </c>
      <c r="N83">
        <v>137</v>
      </c>
      <c r="O83" s="5">
        <f t="shared" si="43"/>
        <v>0.27128712871287125</v>
      </c>
      <c r="P83" t="s">
        <v>309</v>
      </c>
    </row>
    <row r="84" spans="1:16">
      <c r="A84" s="2"/>
      <c r="B84" s="2"/>
      <c r="C84" s="2"/>
      <c r="D84" s="2"/>
      <c r="E84" t="s">
        <v>190</v>
      </c>
      <c r="F84" t="s">
        <v>187</v>
      </c>
      <c r="G84" s="4">
        <v>10</v>
      </c>
      <c r="H84" s="4">
        <v>1</v>
      </c>
      <c r="I84" s="4">
        <v>500</v>
      </c>
      <c r="J84" s="4">
        <v>0</v>
      </c>
      <c r="K84" s="4">
        <f t="shared" si="42"/>
        <v>500</v>
      </c>
      <c r="L84" s="4" t="s">
        <v>83</v>
      </c>
      <c r="M84" s="4">
        <v>50.5</v>
      </c>
      <c r="N84">
        <v>206</v>
      </c>
      <c r="O84" s="5">
        <f t="shared" si="43"/>
        <v>0.40792079207920789</v>
      </c>
      <c r="P84" t="s">
        <v>187</v>
      </c>
    </row>
    <row r="85" spans="1:16">
      <c r="A85" s="2"/>
      <c r="B85" s="2"/>
      <c r="C85" s="2"/>
      <c r="D85" s="2"/>
      <c r="E85" t="s">
        <v>192</v>
      </c>
      <c r="F85" t="s">
        <v>189</v>
      </c>
      <c r="G85" s="4">
        <v>10</v>
      </c>
      <c r="H85" s="4">
        <v>1</v>
      </c>
      <c r="I85" s="4">
        <v>500</v>
      </c>
      <c r="J85" s="4">
        <v>0</v>
      </c>
      <c r="K85" s="4">
        <f t="shared" si="42"/>
        <v>500</v>
      </c>
      <c r="L85" s="4" t="s">
        <v>83</v>
      </c>
      <c r="M85" s="4">
        <v>50.5</v>
      </c>
      <c r="N85">
        <v>199</v>
      </c>
      <c r="O85" s="5">
        <f t="shared" si="43"/>
        <v>0.39405940594059402</v>
      </c>
      <c r="P85" t="s">
        <v>189</v>
      </c>
    </row>
    <row r="86" spans="1:16">
      <c r="A86" s="2"/>
      <c r="B86" s="2"/>
      <c r="C86" s="2"/>
      <c r="D86" s="2"/>
      <c r="E86" t="s">
        <v>194</v>
      </c>
      <c r="F86" t="s">
        <v>314</v>
      </c>
      <c r="G86" s="4">
        <v>10</v>
      </c>
      <c r="H86" s="4">
        <v>1</v>
      </c>
      <c r="I86" s="4">
        <v>500</v>
      </c>
      <c r="J86" s="4">
        <v>0</v>
      </c>
      <c r="K86" s="4">
        <f t="shared" si="42"/>
        <v>500</v>
      </c>
      <c r="L86" s="4" t="s">
        <v>83</v>
      </c>
      <c r="M86" s="4">
        <v>50.5</v>
      </c>
      <c r="N86">
        <v>141</v>
      </c>
      <c r="O86" s="5">
        <f t="shared" si="43"/>
        <v>0.27920792079207918</v>
      </c>
      <c r="P86" t="s">
        <v>314</v>
      </c>
    </row>
    <row r="87" spans="1:16">
      <c r="A87" s="2"/>
      <c r="B87" s="2"/>
      <c r="C87" s="2"/>
      <c r="D87" s="2"/>
      <c r="E87" t="s">
        <v>196</v>
      </c>
      <c r="F87" t="s">
        <v>191</v>
      </c>
      <c r="G87" s="4">
        <v>10</v>
      </c>
      <c r="H87" s="4">
        <v>1</v>
      </c>
      <c r="I87" s="4">
        <v>500</v>
      </c>
      <c r="J87" s="4">
        <v>0</v>
      </c>
      <c r="K87" s="4">
        <f t="shared" si="42"/>
        <v>500</v>
      </c>
      <c r="L87" s="4" t="s">
        <v>83</v>
      </c>
      <c r="M87" s="4">
        <v>50.5</v>
      </c>
      <c r="N87">
        <v>86</v>
      </c>
      <c r="O87" s="5">
        <f t="shared" si="43"/>
        <v>0.17029702970297028</v>
      </c>
      <c r="P87" t="s">
        <v>191</v>
      </c>
    </row>
    <row r="88" spans="1:16">
      <c r="A88" s="2"/>
      <c r="B88" s="2"/>
      <c r="C88" s="2"/>
      <c r="D88" s="2"/>
      <c r="E88" t="s">
        <v>198</v>
      </c>
      <c r="F88" t="s">
        <v>193</v>
      </c>
      <c r="G88" s="4">
        <v>10</v>
      </c>
      <c r="H88" s="4">
        <v>1</v>
      </c>
      <c r="I88" s="4">
        <v>500</v>
      </c>
      <c r="J88" s="4">
        <v>0</v>
      </c>
      <c r="K88" s="4">
        <f t="shared" si="42"/>
        <v>500</v>
      </c>
      <c r="L88" s="4" t="s">
        <v>83</v>
      </c>
      <c r="M88" s="4">
        <v>50.5</v>
      </c>
      <c r="N88">
        <v>68</v>
      </c>
      <c r="O88" s="5">
        <f t="shared" si="43"/>
        <v>0.13465346534653466</v>
      </c>
      <c r="P88" t="s">
        <v>193</v>
      </c>
    </row>
    <row r="89" spans="1:16">
      <c r="A89" s="2"/>
      <c r="B89" s="2"/>
      <c r="C89" s="2"/>
      <c r="D89" s="2"/>
      <c r="E89" t="s">
        <v>200</v>
      </c>
      <c r="F89" t="s">
        <v>195</v>
      </c>
      <c r="G89" s="4">
        <v>10</v>
      </c>
      <c r="H89" s="4">
        <v>1</v>
      </c>
      <c r="I89" s="4">
        <v>500</v>
      </c>
      <c r="J89" s="4">
        <v>0</v>
      </c>
      <c r="K89" s="4">
        <f t="shared" si="42"/>
        <v>500</v>
      </c>
      <c r="L89" s="4" t="s">
        <v>83</v>
      </c>
      <c r="M89" s="4">
        <v>50.5</v>
      </c>
      <c r="N89">
        <v>39</v>
      </c>
      <c r="O89" s="5">
        <f t="shared" si="43"/>
        <v>7.7227722772277227E-2</v>
      </c>
      <c r="P89" t="s">
        <v>195</v>
      </c>
    </row>
    <row r="90" spans="1:16">
      <c r="A90" s="2"/>
      <c r="B90" s="2"/>
      <c r="C90" s="2"/>
      <c r="D90" s="2"/>
      <c r="E90" t="s">
        <v>240</v>
      </c>
      <c r="F90" t="s">
        <v>221</v>
      </c>
      <c r="G90" s="4">
        <v>10</v>
      </c>
      <c r="H90" s="4">
        <v>1</v>
      </c>
      <c r="I90" s="4">
        <v>500</v>
      </c>
      <c r="J90" s="4">
        <v>0</v>
      </c>
      <c r="K90" s="4">
        <f t="shared" si="42"/>
        <v>500</v>
      </c>
      <c r="L90" s="4" t="s">
        <v>83</v>
      </c>
      <c r="M90" s="4">
        <v>50.5</v>
      </c>
      <c r="N90">
        <v>5547</v>
      </c>
      <c r="O90" s="5">
        <f t="shared" si="43"/>
        <v>10.984158415841584</v>
      </c>
      <c r="P90" t="s">
        <v>221</v>
      </c>
    </row>
    <row r="91" spans="1:16">
      <c r="A91" s="2"/>
      <c r="B91" s="2"/>
      <c r="C91" s="2"/>
      <c r="D91" s="2"/>
      <c r="E91" t="s">
        <v>242</v>
      </c>
      <c r="F91" t="s">
        <v>223</v>
      </c>
      <c r="G91" s="4">
        <v>10</v>
      </c>
      <c r="H91" s="4">
        <v>1</v>
      </c>
      <c r="I91" s="4">
        <v>500</v>
      </c>
      <c r="J91" s="4">
        <v>0</v>
      </c>
      <c r="K91" s="4">
        <f t="shared" si="42"/>
        <v>500</v>
      </c>
      <c r="L91" s="4" t="s">
        <v>83</v>
      </c>
      <c r="M91" s="4">
        <v>50.5</v>
      </c>
      <c r="N91">
        <v>2512</v>
      </c>
      <c r="O91" s="5">
        <f t="shared" si="43"/>
        <v>4.9742574257425733</v>
      </c>
      <c r="P91" t="s">
        <v>223</v>
      </c>
    </row>
    <row r="92" spans="1:16">
      <c r="A92" s="2"/>
      <c r="B92" s="2"/>
      <c r="C92" s="2"/>
      <c r="D92" s="2"/>
      <c r="E92" t="s">
        <v>343</v>
      </c>
      <c r="F92" t="s">
        <v>225</v>
      </c>
      <c r="G92" s="4">
        <v>10</v>
      </c>
      <c r="H92" s="4">
        <v>1</v>
      </c>
      <c r="I92" s="4">
        <v>500</v>
      </c>
      <c r="J92" s="4">
        <v>0</v>
      </c>
      <c r="K92" s="4">
        <f t="shared" si="42"/>
        <v>500</v>
      </c>
      <c r="L92" s="4" t="s">
        <v>83</v>
      </c>
      <c r="M92" s="4">
        <v>50.5</v>
      </c>
      <c r="N92">
        <v>1646</v>
      </c>
      <c r="O92" s="5">
        <f t="shared" si="43"/>
        <v>3.2594059405940592</v>
      </c>
      <c r="P92" t="s">
        <v>225</v>
      </c>
    </row>
    <row r="93" spans="1:16">
      <c r="A93" s="2"/>
      <c r="B93" s="2"/>
      <c r="C93" s="2"/>
      <c r="D93" s="2"/>
      <c r="E93" t="s">
        <v>344</v>
      </c>
      <c r="F93" t="s">
        <v>227</v>
      </c>
      <c r="G93" s="4">
        <v>10</v>
      </c>
      <c r="H93" s="4">
        <v>1</v>
      </c>
      <c r="I93" s="4">
        <v>500</v>
      </c>
      <c r="J93" s="4">
        <v>0</v>
      </c>
      <c r="K93" s="4">
        <f t="shared" si="42"/>
        <v>500</v>
      </c>
      <c r="L93" s="4" t="s">
        <v>83</v>
      </c>
      <c r="M93" s="4">
        <v>50.5</v>
      </c>
      <c r="N93">
        <v>816</v>
      </c>
      <c r="O93" s="5">
        <f t="shared" si="43"/>
        <v>1.6158415841584157</v>
      </c>
      <c r="P93" t="s">
        <v>227</v>
      </c>
    </row>
    <row r="94" spans="1:16">
      <c r="A94" s="2"/>
      <c r="B94" s="2"/>
      <c r="C94" s="2"/>
      <c r="D94" s="2"/>
      <c r="E94" t="s">
        <v>345</v>
      </c>
      <c r="F94" t="s">
        <v>229</v>
      </c>
      <c r="G94" s="4">
        <v>10</v>
      </c>
      <c r="H94" s="4">
        <v>1</v>
      </c>
      <c r="I94" s="4">
        <v>500</v>
      </c>
      <c r="J94" s="4">
        <v>0</v>
      </c>
      <c r="K94" s="4">
        <f t="shared" si="42"/>
        <v>500</v>
      </c>
      <c r="L94" s="4" t="s">
        <v>83</v>
      </c>
      <c r="M94" s="4">
        <v>50.5</v>
      </c>
      <c r="N94">
        <v>442</v>
      </c>
      <c r="O94" s="5">
        <f t="shared" si="43"/>
        <v>0.87524752475247514</v>
      </c>
      <c r="P94" t="s">
        <v>229</v>
      </c>
    </row>
    <row r="95" spans="1:16">
      <c r="A95" s="2"/>
      <c r="B95" s="2"/>
      <c r="C95" s="2"/>
      <c r="D95" s="2"/>
      <c r="E95" t="s">
        <v>346</v>
      </c>
      <c r="F95" t="s">
        <v>231</v>
      </c>
      <c r="G95" s="4">
        <v>10</v>
      </c>
      <c r="H95" s="4">
        <v>1</v>
      </c>
      <c r="I95" s="4">
        <v>500</v>
      </c>
      <c r="J95" s="4">
        <v>0</v>
      </c>
      <c r="K95" s="4">
        <f t="shared" si="42"/>
        <v>500</v>
      </c>
      <c r="L95" s="4" t="s">
        <v>83</v>
      </c>
      <c r="M95" s="4">
        <v>50.5</v>
      </c>
      <c r="N95">
        <v>216</v>
      </c>
      <c r="O95" s="5">
        <f t="shared" si="43"/>
        <v>0.42772277227722771</v>
      </c>
      <c r="P95" t="s">
        <v>231</v>
      </c>
    </row>
    <row r="96" spans="1:16">
      <c r="A96" s="2"/>
      <c r="B96" s="2"/>
      <c r="C96" s="2"/>
      <c r="D96" s="2"/>
      <c r="E96" t="s">
        <v>347</v>
      </c>
      <c r="F96" t="s">
        <v>233</v>
      </c>
      <c r="G96" s="4">
        <v>10</v>
      </c>
      <c r="H96" s="4">
        <v>1</v>
      </c>
      <c r="I96" s="4">
        <v>500</v>
      </c>
      <c r="J96" s="4">
        <v>0</v>
      </c>
      <c r="K96" s="4">
        <f t="shared" si="42"/>
        <v>500</v>
      </c>
      <c r="L96" s="4" t="s">
        <v>83</v>
      </c>
      <c r="M96" s="4">
        <v>50.5</v>
      </c>
      <c r="N96">
        <v>314</v>
      </c>
      <c r="O96" s="5">
        <f t="shared" si="43"/>
        <v>0.62178217821782167</v>
      </c>
      <c r="P96" t="s">
        <v>233</v>
      </c>
    </row>
    <row r="97" spans="1:19">
      <c r="A97" s="2"/>
      <c r="B97" s="2"/>
      <c r="C97" s="2"/>
      <c r="D97" s="2"/>
      <c r="E97" t="s">
        <v>348</v>
      </c>
      <c r="F97" t="s">
        <v>235</v>
      </c>
      <c r="G97" s="4">
        <v>10</v>
      </c>
      <c r="H97" s="4">
        <v>1</v>
      </c>
      <c r="I97" s="4">
        <v>500</v>
      </c>
      <c r="J97" s="4">
        <v>0</v>
      </c>
      <c r="K97" s="4">
        <f t="shared" si="42"/>
        <v>500</v>
      </c>
      <c r="L97" s="4" t="s">
        <v>83</v>
      </c>
      <c r="M97" s="4">
        <v>50.5</v>
      </c>
      <c r="N97">
        <v>285</v>
      </c>
      <c r="O97" s="5">
        <f t="shared" si="43"/>
        <v>0.5643564356435643</v>
      </c>
      <c r="P97" t="s">
        <v>235</v>
      </c>
    </row>
    <row r="98" spans="1:19">
      <c r="A98" s="2"/>
      <c r="B98" s="2"/>
      <c r="C98" s="2"/>
      <c r="D98" s="2"/>
      <c r="E98" t="s">
        <v>349</v>
      </c>
      <c r="F98" t="s">
        <v>237</v>
      </c>
      <c r="G98" s="4">
        <v>10</v>
      </c>
      <c r="H98" s="4">
        <v>1</v>
      </c>
      <c r="I98" s="4">
        <v>500</v>
      </c>
      <c r="J98" s="4">
        <v>0</v>
      </c>
      <c r="K98" s="4">
        <f t="shared" si="42"/>
        <v>500</v>
      </c>
      <c r="L98" s="4" t="s">
        <v>83</v>
      </c>
      <c r="M98" s="4">
        <v>50.5</v>
      </c>
      <c r="N98">
        <v>183</v>
      </c>
      <c r="O98" s="5">
        <f t="shared" si="43"/>
        <v>0.36237623762376237</v>
      </c>
      <c r="P98" t="s">
        <v>237</v>
      </c>
    </row>
    <row r="99" spans="1:19">
      <c r="E99" t="s">
        <v>350</v>
      </c>
      <c r="F99" t="s">
        <v>239</v>
      </c>
      <c r="G99" s="4">
        <v>10</v>
      </c>
      <c r="H99" s="4">
        <v>1</v>
      </c>
      <c r="I99" s="4">
        <v>500</v>
      </c>
      <c r="J99" s="4">
        <v>0</v>
      </c>
      <c r="K99" s="4">
        <f t="shared" si="42"/>
        <v>500</v>
      </c>
      <c r="L99" s="4" t="s">
        <v>83</v>
      </c>
      <c r="M99" s="4">
        <v>50.5</v>
      </c>
      <c r="N99">
        <v>108</v>
      </c>
      <c r="O99" s="5">
        <f t="shared" si="43"/>
        <v>0.21386138613861386</v>
      </c>
      <c r="P99" t="s">
        <v>239</v>
      </c>
    </row>
    <row r="100" spans="1:19">
      <c r="E100" t="s">
        <v>351</v>
      </c>
      <c r="F100" t="s">
        <v>241</v>
      </c>
      <c r="G100" s="4">
        <v>10</v>
      </c>
      <c r="H100" s="4">
        <v>1</v>
      </c>
      <c r="I100" s="4">
        <v>500</v>
      </c>
      <c r="J100" s="4">
        <v>0</v>
      </c>
      <c r="K100" s="4">
        <f t="shared" si="42"/>
        <v>500</v>
      </c>
      <c r="L100" s="4" t="s">
        <v>83</v>
      </c>
      <c r="M100" s="4">
        <v>50.5</v>
      </c>
      <c r="N100">
        <v>45</v>
      </c>
      <c r="O100" s="5">
        <f t="shared" si="43"/>
        <v>8.9108910891089105E-2</v>
      </c>
      <c r="P100" t="s">
        <v>241</v>
      </c>
    </row>
    <row r="101" spans="1:19">
      <c r="E101" t="s">
        <v>352</v>
      </c>
      <c r="F101" t="s">
        <v>243</v>
      </c>
      <c r="G101" s="4">
        <v>10</v>
      </c>
      <c r="H101" s="4">
        <v>1</v>
      </c>
      <c r="I101" s="4">
        <v>500</v>
      </c>
      <c r="J101" s="4">
        <v>0</v>
      </c>
      <c r="K101" s="4">
        <f t="shared" si="42"/>
        <v>500</v>
      </c>
      <c r="L101" s="4" t="s">
        <v>83</v>
      </c>
      <c r="M101" s="4">
        <v>50.5</v>
      </c>
      <c r="N101">
        <v>90</v>
      </c>
      <c r="O101" s="5">
        <f t="shared" si="43"/>
        <v>0.17821782178217821</v>
      </c>
      <c r="P101" t="s">
        <v>243</v>
      </c>
    </row>
    <row r="102" spans="1:19">
      <c r="G102" s="4"/>
      <c r="H102" s="4"/>
      <c r="I102" s="4"/>
      <c r="J102" s="4"/>
      <c r="K102" s="4"/>
      <c r="L102" s="4"/>
      <c r="M102" s="4"/>
      <c r="O102" s="5"/>
    </row>
    <row r="103" spans="1:19">
      <c r="E103" t="s">
        <v>43</v>
      </c>
      <c r="F103" t="s">
        <v>367</v>
      </c>
      <c r="G103" s="4">
        <v>10000</v>
      </c>
      <c r="H103" s="4">
        <v>1</v>
      </c>
      <c r="I103" s="4">
        <v>500</v>
      </c>
      <c r="J103" s="4">
        <v>10</v>
      </c>
      <c r="K103" s="4">
        <f t="shared" ref="K103:K104" si="49">I103+J103</f>
        <v>510</v>
      </c>
      <c r="L103" s="4" t="s">
        <v>121</v>
      </c>
      <c r="M103" s="4">
        <v>74.5</v>
      </c>
      <c r="N103">
        <v>2855</v>
      </c>
      <c r="O103" s="5">
        <f t="shared" si="43"/>
        <v>3908.8590604026854</v>
      </c>
      <c r="P103" t="s">
        <v>367</v>
      </c>
      <c r="S103" s="6">
        <f>AVERAGE(O103:O104)*100000</f>
        <v>395698389.26174498</v>
      </c>
    </row>
    <row r="104" spans="1:19">
      <c r="E104" t="s">
        <v>44</v>
      </c>
      <c r="F104" t="s">
        <v>367</v>
      </c>
      <c r="G104" s="4">
        <v>1000</v>
      </c>
      <c r="H104" s="4">
        <v>1</v>
      </c>
      <c r="I104" s="4">
        <v>500</v>
      </c>
      <c r="J104" s="4">
        <v>10</v>
      </c>
      <c r="K104" s="4">
        <f t="shared" si="49"/>
        <v>510</v>
      </c>
      <c r="L104" s="4" t="s">
        <v>121</v>
      </c>
      <c r="M104" s="4">
        <v>74.5</v>
      </c>
      <c r="N104">
        <v>29253</v>
      </c>
      <c r="O104" s="5">
        <f t="shared" si="43"/>
        <v>4005.1087248322146</v>
      </c>
      <c r="P104" t="s">
        <v>367</v>
      </c>
    </row>
    <row r="105" spans="1:19">
      <c r="G105" s="4"/>
      <c r="H105" s="4"/>
      <c r="I105" s="4"/>
      <c r="J105" s="4"/>
      <c r="K105" s="4"/>
      <c r="L105" s="4"/>
      <c r="M105" s="4"/>
      <c r="O105" s="5"/>
    </row>
    <row r="106" spans="1:19">
      <c r="E106" t="s">
        <v>369</v>
      </c>
      <c r="F106" t="s">
        <v>368</v>
      </c>
      <c r="G106" s="4">
        <v>1000</v>
      </c>
      <c r="H106" s="4">
        <v>1</v>
      </c>
      <c r="I106" s="4">
        <v>500</v>
      </c>
      <c r="J106" s="4">
        <v>10</v>
      </c>
      <c r="K106" s="4">
        <f t="shared" ref="K106" si="50">I106+J106</f>
        <v>510</v>
      </c>
      <c r="L106" s="4" t="s">
        <v>83</v>
      </c>
      <c r="M106" s="4">
        <v>51.2</v>
      </c>
      <c r="N106">
        <v>5621</v>
      </c>
      <c r="O106" s="5">
        <f t="shared" ref="O106" si="51">((((N106)/((M106*H106)/1000))*G106)*(K106/I106))/100000</f>
        <v>1119.80859375</v>
      </c>
      <c r="P106" t="s">
        <v>368</v>
      </c>
    </row>
    <row r="107" spans="1:19">
      <c r="G107" s="4"/>
      <c r="H107" s="4"/>
      <c r="I107" s="4"/>
      <c r="J107" s="4"/>
      <c r="K107" s="4"/>
      <c r="L107" s="4"/>
      <c r="M107" s="4"/>
      <c r="O107" s="5"/>
    </row>
    <row r="108" spans="1:19">
      <c r="E108" s="13" t="s">
        <v>25</v>
      </c>
      <c r="F108" s="13" t="s">
        <v>197</v>
      </c>
      <c r="G108" s="4">
        <v>100</v>
      </c>
      <c r="H108" s="4">
        <v>1</v>
      </c>
      <c r="I108" s="4">
        <v>500</v>
      </c>
      <c r="J108" s="4">
        <v>10</v>
      </c>
      <c r="K108" s="4">
        <f t="shared" ref="K108:K170" si="52">I108+J108</f>
        <v>510</v>
      </c>
      <c r="L108" s="4" t="s">
        <v>83</v>
      </c>
      <c r="M108" s="4">
        <v>49.5</v>
      </c>
      <c r="N108" s="14">
        <v>5379</v>
      </c>
      <c r="O108" s="5">
        <f t="shared" ref="O108:O170" si="53">((((N108)/((M108*H108)/1000))*G108)*(K108/I108))/100000</f>
        <v>110.84</v>
      </c>
      <c r="P108" s="14" t="s">
        <v>197</v>
      </c>
    </row>
    <row r="109" spans="1:19">
      <c r="E109" s="13" t="s">
        <v>26</v>
      </c>
      <c r="F109" s="13" t="s">
        <v>199</v>
      </c>
      <c r="G109" s="4">
        <v>100</v>
      </c>
      <c r="H109" s="4">
        <v>1</v>
      </c>
      <c r="I109" s="4">
        <v>500</v>
      </c>
      <c r="J109" s="4">
        <v>10</v>
      </c>
      <c r="K109" s="4">
        <f t="shared" si="52"/>
        <v>510</v>
      </c>
      <c r="L109" s="4" t="s">
        <v>83</v>
      </c>
      <c r="M109" s="4">
        <v>49.5</v>
      </c>
      <c r="N109" s="14">
        <v>4671</v>
      </c>
      <c r="O109" s="5">
        <f t="shared" si="53"/>
        <v>96.250909090909076</v>
      </c>
      <c r="P109" s="14" t="s">
        <v>199</v>
      </c>
    </row>
    <row r="110" spans="1:19">
      <c r="E110" s="13" t="s">
        <v>27</v>
      </c>
      <c r="F110" s="13" t="s">
        <v>201</v>
      </c>
      <c r="G110" s="4">
        <v>100</v>
      </c>
      <c r="H110" s="4">
        <v>1</v>
      </c>
      <c r="I110" s="4">
        <v>500</v>
      </c>
      <c r="J110" s="4">
        <v>10</v>
      </c>
      <c r="K110" s="4">
        <f t="shared" si="52"/>
        <v>510</v>
      </c>
      <c r="L110" s="4" t="s">
        <v>83</v>
      </c>
      <c r="M110" s="4">
        <v>49.5</v>
      </c>
      <c r="N110" s="14">
        <v>5134</v>
      </c>
      <c r="O110" s="5">
        <f t="shared" si="53"/>
        <v>105.79151515151516</v>
      </c>
      <c r="P110" s="14" t="s">
        <v>201</v>
      </c>
    </row>
    <row r="111" spans="1:19">
      <c r="E111" s="13" t="s">
        <v>28</v>
      </c>
      <c r="F111" s="13" t="s">
        <v>203</v>
      </c>
      <c r="G111" s="4">
        <v>10</v>
      </c>
      <c r="H111" s="4">
        <v>1</v>
      </c>
      <c r="I111" s="4">
        <v>500</v>
      </c>
      <c r="J111" s="4">
        <v>10</v>
      </c>
      <c r="K111" s="4">
        <f t="shared" si="52"/>
        <v>510</v>
      </c>
      <c r="L111" s="4" t="s">
        <v>83</v>
      </c>
      <c r="M111" s="4">
        <v>49.5</v>
      </c>
      <c r="N111" s="14">
        <v>29239</v>
      </c>
      <c r="O111" s="5">
        <f t="shared" si="53"/>
        <v>60.250060606060607</v>
      </c>
      <c r="P111" s="14" t="s">
        <v>203</v>
      </c>
    </row>
    <row r="112" spans="1:19">
      <c r="E112" s="13" t="s">
        <v>29</v>
      </c>
      <c r="F112" s="13" t="s">
        <v>205</v>
      </c>
      <c r="G112" s="4">
        <v>10</v>
      </c>
      <c r="H112" s="4">
        <v>1</v>
      </c>
      <c r="I112" s="4">
        <v>500</v>
      </c>
      <c r="J112" s="4">
        <v>10</v>
      </c>
      <c r="K112" s="4">
        <f t="shared" si="52"/>
        <v>510</v>
      </c>
      <c r="L112" s="4" t="s">
        <v>83</v>
      </c>
      <c r="M112" s="4">
        <v>49.5</v>
      </c>
      <c r="N112" s="14">
        <v>28829</v>
      </c>
      <c r="O112" s="5">
        <f t="shared" si="53"/>
        <v>59.405212121212116</v>
      </c>
      <c r="P112" s="14" t="s">
        <v>205</v>
      </c>
    </row>
    <row r="113" spans="5:16">
      <c r="E113" s="13" t="s">
        <v>30</v>
      </c>
      <c r="F113" s="13" t="s">
        <v>207</v>
      </c>
      <c r="G113" s="4">
        <v>10</v>
      </c>
      <c r="H113" s="4">
        <v>1</v>
      </c>
      <c r="I113" s="4">
        <v>500</v>
      </c>
      <c r="J113" s="4">
        <v>10</v>
      </c>
      <c r="K113" s="4">
        <f t="shared" si="52"/>
        <v>510</v>
      </c>
      <c r="L113" s="4" t="s">
        <v>83</v>
      </c>
      <c r="M113" s="4">
        <v>49.5</v>
      </c>
      <c r="N113" s="14">
        <v>21415</v>
      </c>
      <c r="O113" s="5">
        <f t="shared" si="53"/>
        <v>44.127878787878778</v>
      </c>
      <c r="P113" s="14" t="s">
        <v>207</v>
      </c>
    </row>
    <row r="114" spans="5:16">
      <c r="E114" s="13" t="s">
        <v>31</v>
      </c>
      <c r="F114" s="13" t="s">
        <v>209</v>
      </c>
      <c r="G114" s="4">
        <v>100</v>
      </c>
      <c r="H114" s="4">
        <v>1</v>
      </c>
      <c r="I114" s="4">
        <v>500</v>
      </c>
      <c r="J114" s="4">
        <v>10</v>
      </c>
      <c r="K114" s="4">
        <f t="shared" si="52"/>
        <v>510</v>
      </c>
      <c r="L114" s="4" t="s">
        <v>83</v>
      </c>
      <c r="M114" s="4">
        <v>49.5</v>
      </c>
      <c r="N114" s="14">
        <v>4119</v>
      </c>
      <c r="O114" s="5">
        <f t="shared" si="53"/>
        <v>84.876363636363635</v>
      </c>
      <c r="P114" s="14" t="s">
        <v>209</v>
      </c>
    </row>
    <row r="115" spans="5:16">
      <c r="E115" s="13" t="s">
        <v>32</v>
      </c>
      <c r="F115" s="13" t="s">
        <v>211</v>
      </c>
      <c r="G115" s="4">
        <v>100</v>
      </c>
      <c r="H115" s="4">
        <v>1</v>
      </c>
      <c r="I115" s="4">
        <v>500</v>
      </c>
      <c r="J115" s="4">
        <v>10</v>
      </c>
      <c r="K115" s="4">
        <f t="shared" si="52"/>
        <v>510</v>
      </c>
      <c r="L115" s="4" t="s">
        <v>83</v>
      </c>
      <c r="M115" s="4">
        <v>49.5</v>
      </c>
      <c r="N115" s="14">
        <v>4313</v>
      </c>
      <c r="O115" s="5">
        <f t="shared" si="53"/>
        <v>88.873939393939395</v>
      </c>
      <c r="P115" s="14" t="s">
        <v>211</v>
      </c>
    </row>
    <row r="116" spans="5:16">
      <c r="E116" s="13" t="s">
        <v>33</v>
      </c>
      <c r="F116" s="13" t="s">
        <v>213</v>
      </c>
      <c r="G116" s="4">
        <v>100</v>
      </c>
      <c r="H116" s="4">
        <v>1</v>
      </c>
      <c r="I116" s="4">
        <v>500</v>
      </c>
      <c r="J116" s="4">
        <v>10</v>
      </c>
      <c r="K116" s="4">
        <f t="shared" si="52"/>
        <v>510</v>
      </c>
      <c r="L116" s="4" t="s">
        <v>83</v>
      </c>
      <c r="M116" s="4">
        <v>49.5</v>
      </c>
      <c r="N116" s="14">
        <v>4020</v>
      </c>
      <c r="O116" s="5">
        <f t="shared" si="53"/>
        <v>82.836363636363629</v>
      </c>
      <c r="P116" s="14" t="s">
        <v>213</v>
      </c>
    </row>
    <row r="117" spans="5:16">
      <c r="E117" s="13" t="s">
        <v>34</v>
      </c>
      <c r="F117" s="13" t="s">
        <v>215</v>
      </c>
      <c r="G117" s="4">
        <v>10</v>
      </c>
      <c r="H117" s="4">
        <v>1</v>
      </c>
      <c r="I117" s="4">
        <v>500</v>
      </c>
      <c r="J117" s="4">
        <v>10</v>
      </c>
      <c r="K117" s="4">
        <f t="shared" si="52"/>
        <v>510</v>
      </c>
      <c r="L117" s="4" t="s">
        <v>83</v>
      </c>
      <c r="M117" s="4">
        <v>49.5</v>
      </c>
      <c r="N117" s="14">
        <v>19993</v>
      </c>
      <c r="O117" s="5">
        <f t="shared" si="53"/>
        <v>41.19769696969697</v>
      </c>
      <c r="P117" s="14" t="s">
        <v>215</v>
      </c>
    </row>
    <row r="118" spans="5:16">
      <c r="E118" s="13" t="s">
        <v>35</v>
      </c>
      <c r="F118" s="13" t="s">
        <v>217</v>
      </c>
      <c r="G118" s="4">
        <v>10</v>
      </c>
      <c r="H118" s="4">
        <v>1</v>
      </c>
      <c r="I118" s="4">
        <v>500</v>
      </c>
      <c r="J118" s="4">
        <v>10</v>
      </c>
      <c r="K118" s="4">
        <f t="shared" si="52"/>
        <v>510</v>
      </c>
      <c r="L118" s="4" t="s">
        <v>83</v>
      </c>
      <c r="M118" s="4">
        <v>49.5</v>
      </c>
      <c r="N118" s="14">
        <v>16033</v>
      </c>
      <c r="O118" s="5">
        <f t="shared" si="53"/>
        <v>33.037696969696974</v>
      </c>
      <c r="P118" s="14" t="s">
        <v>217</v>
      </c>
    </row>
    <row r="119" spans="5:16">
      <c r="E119" s="13" t="s">
        <v>36</v>
      </c>
      <c r="F119" s="13" t="s">
        <v>219</v>
      </c>
      <c r="G119" s="4">
        <v>10</v>
      </c>
      <c r="H119" s="4">
        <v>1</v>
      </c>
      <c r="I119" s="4">
        <v>500</v>
      </c>
      <c r="J119" s="4">
        <v>10</v>
      </c>
      <c r="K119" s="4">
        <f t="shared" si="52"/>
        <v>510</v>
      </c>
      <c r="L119" s="4" t="s">
        <v>83</v>
      </c>
      <c r="M119" s="4">
        <v>49.5</v>
      </c>
      <c r="N119" s="14">
        <v>20422</v>
      </c>
      <c r="O119" s="5">
        <f t="shared" si="53"/>
        <v>42.081696969696964</v>
      </c>
      <c r="P119" s="14" t="s">
        <v>219</v>
      </c>
    </row>
    <row r="120" spans="5:16">
      <c r="E120" s="13" t="s">
        <v>37</v>
      </c>
      <c r="F120" s="13" t="s">
        <v>373</v>
      </c>
      <c r="G120" s="4">
        <v>10</v>
      </c>
      <c r="H120" s="4">
        <v>1</v>
      </c>
      <c r="I120" s="4">
        <v>500</v>
      </c>
      <c r="J120" s="4">
        <v>10</v>
      </c>
      <c r="K120" s="4">
        <f t="shared" si="52"/>
        <v>510</v>
      </c>
      <c r="L120" s="4" t="s">
        <v>83</v>
      </c>
      <c r="M120" s="4">
        <v>49.5</v>
      </c>
      <c r="N120" s="14">
        <v>5516</v>
      </c>
      <c r="O120" s="5">
        <f t="shared" si="53"/>
        <v>11.366303030303031</v>
      </c>
      <c r="P120" s="14" t="s">
        <v>373</v>
      </c>
    </row>
    <row r="121" spans="5:16">
      <c r="E121" s="13" t="s">
        <v>38</v>
      </c>
      <c r="F121" s="13" t="s">
        <v>374</v>
      </c>
      <c r="G121" s="4">
        <v>10</v>
      </c>
      <c r="H121" s="4">
        <v>1</v>
      </c>
      <c r="I121" s="4">
        <v>500</v>
      </c>
      <c r="J121" s="4">
        <v>10</v>
      </c>
      <c r="K121" s="4">
        <f t="shared" si="52"/>
        <v>510</v>
      </c>
      <c r="L121" s="4" t="s">
        <v>83</v>
      </c>
      <c r="M121" s="4">
        <v>49.5</v>
      </c>
      <c r="N121" s="14">
        <v>4242</v>
      </c>
      <c r="O121" s="5">
        <f t="shared" si="53"/>
        <v>8.741090909090909</v>
      </c>
      <c r="P121" s="14" t="s">
        <v>374</v>
      </c>
    </row>
    <row r="122" spans="5:16">
      <c r="E122" s="13" t="s">
        <v>39</v>
      </c>
      <c r="F122" s="13" t="s">
        <v>375</v>
      </c>
      <c r="G122" s="4">
        <v>10</v>
      </c>
      <c r="H122" s="4">
        <v>1</v>
      </c>
      <c r="I122" s="4">
        <v>500</v>
      </c>
      <c r="J122" s="4">
        <v>10</v>
      </c>
      <c r="K122" s="4">
        <f t="shared" si="52"/>
        <v>510</v>
      </c>
      <c r="L122" s="4" t="s">
        <v>83</v>
      </c>
      <c r="M122" s="4">
        <v>49.5</v>
      </c>
      <c r="N122" s="14">
        <v>4407</v>
      </c>
      <c r="O122" s="5">
        <f t="shared" si="53"/>
        <v>9.0810909090909089</v>
      </c>
      <c r="P122" s="14" t="s">
        <v>375</v>
      </c>
    </row>
    <row r="123" spans="5:16">
      <c r="E123" s="13" t="s">
        <v>40</v>
      </c>
      <c r="F123" s="13" t="s">
        <v>376</v>
      </c>
      <c r="G123" s="4">
        <v>100</v>
      </c>
      <c r="H123" s="4">
        <v>1</v>
      </c>
      <c r="I123" s="4">
        <v>500</v>
      </c>
      <c r="J123" s="4">
        <v>10</v>
      </c>
      <c r="K123" s="4">
        <f t="shared" si="52"/>
        <v>510</v>
      </c>
      <c r="L123" s="4" t="s">
        <v>83</v>
      </c>
      <c r="M123" s="4">
        <v>49.5</v>
      </c>
      <c r="N123" s="14">
        <v>6747</v>
      </c>
      <c r="O123" s="5">
        <f t="shared" si="53"/>
        <v>139.02909090909091</v>
      </c>
      <c r="P123" s="14" t="s">
        <v>376</v>
      </c>
    </row>
    <row r="124" spans="5:16">
      <c r="E124" s="13" t="s">
        <v>41</v>
      </c>
      <c r="F124" s="13" t="s">
        <v>377</v>
      </c>
      <c r="G124" s="4">
        <v>100</v>
      </c>
      <c r="H124" s="4">
        <v>1</v>
      </c>
      <c r="I124" s="4">
        <v>500</v>
      </c>
      <c r="J124" s="4">
        <v>10</v>
      </c>
      <c r="K124" s="4">
        <f t="shared" si="52"/>
        <v>510</v>
      </c>
      <c r="L124" s="4" t="s">
        <v>83</v>
      </c>
      <c r="M124" s="4">
        <v>49.5</v>
      </c>
      <c r="N124" s="14">
        <v>6701</v>
      </c>
      <c r="O124" s="5">
        <f t="shared" si="53"/>
        <v>138.0812121212121</v>
      </c>
      <c r="P124" s="14" t="s">
        <v>377</v>
      </c>
    </row>
    <row r="125" spans="5:16">
      <c r="E125" s="13" t="s">
        <v>42</v>
      </c>
      <c r="F125" s="13" t="s">
        <v>378</v>
      </c>
      <c r="G125" s="4">
        <v>100</v>
      </c>
      <c r="H125" s="4">
        <v>1</v>
      </c>
      <c r="I125" s="4">
        <v>500</v>
      </c>
      <c r="J125" s="4">
        <v>10</v>
      </c>
      <c r="K125" s="4">
        <f t="shared" si="52"/>
        <v>510</v>
      </c>
      <c r="L125" s="4" t="s">
        <v>83</v>
      </c>
      <c r="M125" s="4">
        <v>49.5</v>
      </c>
      <c r="N125" s="14">
        <v>6968</v>
      </c>
      <c r="O125" s="5">
        <f t="shared" si="53"/>
        <v>143.58303030303028</v>
      </c>
      <c r="P125" s="14" t="s">
        <v>378</v>
      </c>
    </row>
    <row r="126" spans="5:16">
      <c r="E126" s="13" t="s">
        <v>67</v>
      </c>
      <c r="F126" s="13" t="s">
        <v>245</v>
      </c>
      <c r="G126" s="4">
        <v>100</v>
      </c>
      <c r="H126" s="4">
        <v>1</v>
      </c>
      <c r="I126" s="4">
        <v>500</v>
      </c>
      <c r="J126" s="4">
        <v>10</v>
      </c>
      <c r="K126" s="4">
        <f t="shared" si="52"/>
        <v>510</v>
      </c>
      <c r="L126" s="4" t="s">
        <v>83</v>
      </c>
      <c r="M126" s="4">
        <v>49.5</v>
      </c>
      <c r="N126" s="14">
        <v>6745</v>
      </c>
      <c r="O126" s="5">
        <f t="shared" si="53"/>
        <v>138.9878787878788</v>
      </c>
      <c r="P126" s="14" t="s">
        <v>245</v>
      </c>
    </row>
    <row r="127" spans="5:16">
      <c r="E127" s="13" t="s">
        <v>68</v>
      </c>
      <c r="F127" s="13" t="s">
        <v>246</v>
      </c>
      <c r="G127" s="4">
        <v>100</v>
      </c>
      <c r="H127" s="4">
        <v>1</v>
      </c>
      <c r="I127" s="4">
        <v>500</v>
      </c>
      <c r="J127" s="4">
        <v>10</v>
      </c>
      <c r="K127" s="4">
        <f t="shared" si="52"/>
        <v>510</v>
      </c>
      <c r="L127" s="4" t="s">
        <v>83</v>
      </c>
      <c r="M127" s="4">
        <v>49.5</v>
      </c>
      <c r="N127" s="14">
        <v>6612</v>
      </c>
      <c r="O127" s="5">
        <f t="shared" si="53"/>
        <v>136.24727272727273</v>
      </c>
      <c r="P127" s="14" t="s">
        <v>246</v>
      </c>
    </row>
    <row r="128" spans="5:16">
      <c r="E128" s="13" t="s">
        <v>69</v>
      </c>
      <c r="F128" s="13" t="s">
        <v>247</v>
      </c>
      <c r="G128" s="4">
        <v>100</v>
      </c>
      <c r="H128" s="4">
        <v>1</v>
      </c>
      <c r="I128" s="4">
        <v>500</v>
      </c>
      <c r="J128" s="4">
        <v>10</v>
      </c>
      <c r="K128" s="4">
        <f t="shared" si="52"/>
        <v>510</v>
      </c>
      <c r="L128" s="4" t="s">
        <v>83</v>
      </c>
      <c r="M128" s="4">
        <v>49.5</v>
      </c>
      <c r="N128" s="14">
        <v>6702</v>
      </c>
      <c r="O128" s="5">
        <f t="shared" si="53"/>
        <v>138.10181818181817</v>
      </c>
      <c r="P128" s="14" t="s">
        <v>247</v>
      </c>
    </row>
    <row r="129" spans="5:16">
      <c r="E129" s="13" t="s">
        <v>70</v>
      </c>
      <c r="F129" s="13" t="s">
        <v>248</v>
      </c>
      <c r="G129" s="4">
        <v>10</v>
      </c>
      <c r="H129" s="4">
        <v>1</v>
      </c>
      <c r="I129" s="4">
        <v>500</v>
      </c>
      <c r="J129" s="4">
        <v>10</v>
      </c>
      <c r="K129" s="4">
        <f t="shared" si="52"/>
        <v>510</v>
      </c>
      <c r="L129" s="4" t="s">
        <v>83</v>
      </c>
      <c r="M129" s="4">
        <v>49.5</v>
      </c>
      <c r="N129" s="14">
        <v>30565</v>
      </c>
      <c r="O129" s="5">
        <f t="shared" si="53"/>
        <v>62.982424242424251</v>
      </c>
      <c r="P129" s="14" t="s">
        <v>248</v>
      </c>
    </row>
    <row r="130" spans="5:16">
      <c r="E130" s="13" t="s">
        <v>71</v>
      </c>
      <c r="F130" s="13" t="s">
        <v>249</v>
      </c>
      <c r="G130" s="4">
        <v>10</v>
      </c>
      <c r="H130" s="4">
        <v>1</v>
      </c>
      <c r="I130" s="4">
        <v>500</v>
      </c>
      <c r="J130" s="4">
        <v>10</v>
      </c>
      <c r="K130" s="4">
        <f t="shared" si="52"/>
        <v>510</v>
      </c>
      <c r="L130" s="4" t="s">
        <v>83</v>
      </c>
      <c r="M130" s="4">
        <v>49.5</v>
      </c>
      <c r="N130" s="14">
        <v>31248</v>
      </c>
      <c r="O130" s="5">
        <f t="shared" si="53"/>
        <v>64.3898181818182</v>
      </c>
      <c r="P130" s="14" t="s">
        <v>249</v>
      </c>
    </row>
    <row r="131" spans="5:16">
      <c r="E131" s="13" t="s">
        <v>72</v>
      </c>
      <c r="F131" s="13" t="s">
        <v>250</v>
      </c>
      <c r="G131" s="4">
        <v>10</v>
      </c>
      <c r="H131" s="4">
        <v>1</v>
      </c>
      <c r="I131" s="4">
        <v>500</v>
      </c>
      <c r="J131" s="4">
        <v>10</v>
      </c>
      <c r="K131" s="4">
        <f t="shared" si="52"/>
        <v>510</v>
      </c>
      <c r="L131" s="4" t="s">
        <v>83</v>
      </c>
      <c r="M131" s="4">
        <v>49.5</v>
      </c>
      <c r="N131" s="14">
        <v>31230</v>
      </c>
      <c r="O131" s="5">
        <f t="shared" si="53"/>
        <v>64.352727272727265</v>
      </c>
      <c r="P131" s="14" t="s">
        <v>250</v>
      </c>
    </row>
    <row r="132" spans="5:16">
      <c r="E132" s="13" t="s">
        <v>379</v>
      </c>
      <c r="F132" s="13" t="s">
        <v>251</v>
      </c>
      <c r="G132" s="4">
        <v>100</v>
      </c>
      <c r="H132" s="4">
        <v>1</v>
      </c>
      <c r="I132" s="4">
        <v>500</v>
      </c>
      <c r="J132" s="4">
        <v>10</v>
      </c>
      <c r="K132" s="4">
        <f t="shared" si="52"/>
        <v>510</v>
      </c>
      <c r="L132" s="4" t="s">
        <v>83</v>
      </c>
      <c r="M132" s="4">
        <v>49.5</v>
      </c>
      <c r="N132" s="14">
        <v>5088</v>
      </c>
      <c r="O132" s="5">
        <f t="shared" si="53"/>
        <v>104.84363636363636</v>
      </c>
      <c r="P132" s="14" t="s">
        <v>251</v>
      </c>
    </row>
    <row r="133" spans="5:16">
      <c r="E133" s="13" t="s">
        <v>304</v>
      </c>
      <c r="F133" s="13" t="s">
        <v>252</v>
      </c>
      <c r="G133" s="4">
        <v>100</v>
      </c>
      <c r="H133" s="4">
        <v>1</v>
      </c>
      <c r="I133" s="4">
        <v>500</v>
      </c>
      <c r="J133" s="4">
        <v>10</v>
      </c>
      <c r="K133" s="4">
        <f t="shared" si="52"/>
        <v>510</v>
      </c>
      <c r="L133" s="4" t="s">
        <v>83</v>
      </c>
      <c r="M133" s="4">
        <v>49.5</v>
      </c>
      <c r="N133" s="14">
        <v>5085</v>
      </c>
      <c r="O133" s="5">
        <f t="shared" si="53"/>
        <v>104.78181818181817</v>
      </c>
      <c r="P133" s="14" t="s">
        <v>252</v>
      </c>
    </row>
    <row r="134" spans="5:16">
      <c r="E134" s="13" t="s">
        <v>305</v>
      </c>
      <c r="F134" s="13" t="s">
        <v>253</v>
      </c>
      <c r="G134" s="4">
        <v>100</v>
      </c>
      <c r="H134" s="4">
        <v>1</v>
      </c>
      <c r="I134" s="4">
        <v>500</v>
      </c>
      <c r="J134" s="4">
        <v>10</v>
      </c>
      <c r="K134" s="4">
        <f t="shared" si="52"/>
        <v>510</v>
      </c>
      <c r="L134" s="4" t="s">
        <v>83</v>
      </c>
      <c r="M134" s="4">
        <v>49.5</v>
      </c>
      <c r="N134" s="14">
        <v>4825</v>
      </c>
      <c r="O134" s="5">
        <f t="shared" si="53"/>
        <v>99.424242424242436</v>
      </c>
      <c r="P134" s="14" t="s">
        <v>253</v>
      </c>
    </row>
    <row r="135" spans="5:16">
      <c r="E135" s="13" t="s">
        <v>306</v>
      </c>
      <c r="F135" s="13" t="s">
        <v>254</v>
      </c>
      <c r="G135" s="4">
        <v>10</v>
      </c>
      <c r="H135" s="4">
        <v>1</v>
      </c>
      <c r="I135" s="4">
        <v>500</v>
      </c>
      <c r="J135" s="4">
        <v>10</v>
      </c>
      <c r="K135" s="4">
        <f t="shared" si="52"/>
        <v>510</v>
      </c>
      <c r="L135" s="4" t="s">
        <v>83</v>
      </c>
      <c r="M135" s="4">
        <v>49.5</v>
      </c>
      <c r="N135" s="14">
        <v>21717</v>
      </c>
      <c r="O135" s="5">
        <f t="shared" si="53"/>
        <v>44.750181818181815</v>
      </c>
      <c r="P135" s="14" t="s">
        <v>254</v>
      </c>
    </row>
    <row r="136" spans="5:16">
      <c r="E136" s="13" t="s">
        <v>307</v>
      </c>
      <c r="F136" s="13" t="s">
        <v>255</v>
      </c>
      <c r="G136" s="4">
        <v>10</v>
      </c>
      <c r="H136" s="4">
        <v>1</v>
      </c>
      <c r="I136" s="4">
        <v>500</v>
      </c>
      <c r="J136" s="4">
        <v>10</v>
      </c>
      <c r="K136" s="4">
        <f t="shared" si="52"/>
        <v>510</v>
      </c>
      <c r="L136" s="4" t="s">
        <v>83</v>
      </c>
      <c r="M136" s="4">
        <v>49.5</v>
      </c>
      <c r="N136" s="14">
        <v>17375</v>
      </c>
      <c r="O136" s="5">
        <f t="shared" si="53"/>
        <v>35.803030303030297</v>
      </c>
      <c r="P136" s="14" t="s">
        <v>255</v>
      </c>
    </row>
    <row r="137" spans="5:16">
      <c r="E137" s="13" t="s">
        <v>308</v>
      </c>
      <c r="F137" s="13" t="s">
        <v>256</v>
      </c>
      <c r="G137" s="4">
        <v>10</v>
      </c>
      <c r="H137" s="4">
        <v>1</v>
      </c>
      <c r="I137" s="4">
        <v>500</v>
      </c>
      <c r="J137" s="4">
        <v>10</v>
      </c>
      <c r="K137" s="4">
        <f t="shared" si="52"/>
        <v>510</v>
      </c>
      <c r="L137" s="4" t="s">
        <v>83</v>
      </c>
      <c r="M137" s="4">
        <v>49.5</v>
      </c>
      <c r="N137" s="14">
        <v>22374</v>
      </c>
      <c r="O137" s="5">
        <f t="shared" si="53"/>
        <v>46.103999999999999</v>
      </c>
      <c r="P137" s="14" t="s">
        <v>256</v>
      </c>
    </row>
    <row r="138" spans="5:16">
      <c r="E138" s="13" t="s">
        <v>310</v>
      </c>
      <c r="F138" s="13" t="s">
        <v>380</v>
      </c>
      <c r="G138" s="4">
        <v>10</v>
      </c>
      <c r="H138" s="4">
        <v>1</v>
      </c>
      <c r="I138" s="4">
        <v>500</v>
      </c>
      <c r="J138" s="4">
        <v>10</v>
      </c>
      <c r="K138" s="4">
        <f t="shared" si="52"/>
        <v>510</v>
      </c>
      <c r="L138" s="4" t="s">
        <v>83</v>
      </c>
      <c r="M138" s="4">
        <v>49.5</v>
      </c>
      <c r="N138" s="14">
        <v>6312</v>
      </c>
      <c r="O138" s="5">
        <f t="shared" si="53"/>
        <v>13.006545454545455</v>
      </c>
      <c r="P138" s="14" t="s">
        <v>380</v>
      </c>
    </row>
    <row r="139" spans="5:16">
      <c r="E139" s="13" t="s">
        <v>311</v>
      </c>
      <c r="F139" s="13" t="s">
        <v>381</v>
      </c>
      <c r="G139" s="4">
        <v>10</v>
      </c>
      <c r="H139" s="4">
        <v>1</v>
      </c>
      <c r="I139" s="4">
        <v>500</v>
      </c>
      <c r="J139" s="4">
        <v>10</v>
      </c>
      <c r="K139" s="4">
        <f t="shared" si="52"/>
        <v>510</v>
      </c>
      <c r="L139" s="4" t="s">
        <v>83</v>
      </c>
      <c r="M139" s="4">
        <v>49.5</v>
      </c>
      <c r="N139" s="14">
        <v>5049</v>
      </c>
      <c r="O139" s="5">
        <f t="shared" si="53"/>
        <v>10.404</v>
      </c>
      <c r="P139" s="14" t="s">
        <v>381</v>
      </c>
    </row>
    <row r="140" spans="5:16">
      <c r="E140" s="13" t="s">
        <v>312</v>
      </c>
      <c r="F140" s="13" t="s">
        <v>382</v>
      </c>
      <c r="G140" s="4">
        <v>10</v>
      </c>
      <c r="H140" s="4">
        <v>1</v>
      </c>
      <c r="I140" s="4">
        <v>500</v>
      </c>
      <c r="J140" s="4">
        <v>10</v>
      </c>
      <c r="K140" s="4">
        <f t="shared" si="52"/>
        <v>510</v>
      </c>
      <c r="L140" s="4" t="s">
        <v>83</v>
      </c>
      <c r="M140" s="4">
        <v>49.5</v>
      </c>
      <c r="N140" s="14">
        <v>5182</v>
      </c>
      <c r="O140" s="5">
        <f t="shared" si="53"/>
        <v>10.678060606060605</v>
      </c>
      <c r="P140" s="14" t="s">
        <v>382</v>
      </c>
    </row>
    <row r="141" spans="5:16">
      <c r="E141" s="13" t="s">
        <v>313</v>
      </c>
      <c r="F141" s="13" t="s">
        <v>383</v>
      </c>
      <c r="G141" s="4">
        <v>10</v>
      </c>
      <c r="H141" s="4">
        <v>1</v>
      </c>
      <c r="I141" s="4">
        <v>500</v>
      </c>
      <c r="J141" s="4">
        <v>10</v>
      </c>
      <c r="K141" s="4">
        <f t="shared" si="52"/>
        <v>510</v>
      </c>
      <c r="L141" s="4" t="s">
        <v>83</v>
      </c>
      <c r="M141" s="4">
        <v>49.5</v>
      </c>
      <c r="N141" s="14">
        <v>62661</v>
      </c>
      <c r="O141" s="5">
        <f t="shared" si="53"/>
        <v>129.11963636363637</v>
      </c>
      <c r="P141" s="14" t="s">
        <v>383</v>
      </c>
    </row>
    <row r="142" spans="5:16">
      <c r="E142" s="13" t="s">
        <v>315</v>
      </c>
      <c r="F142" s="13" t="s">
        <v>384</v>
      </c>
      <c r="G142" s="4">
        <v>10</v>
      </c>
      <c r="H142" s="4">
        <v>1</v>
      </c>
      <c r="I142" s="4">
        <v>500</v>
      </c>
      <c r="J142" s="4">
        <v>10</v>
      </c>
      <c r="K142" s="4">
        <f t="shared" si="52"/>
        <v>510</v>
      </c>
      <c r="L142" s="4" t="s">
        <v>83</v>
      </c>
      <c r="M142" s="4">
        <v>49.5</v>
      </c>
      <c r="N142" s="14">
        <v>63748</v>
      </c>
      <c r="O142" s="5">
        <f t="shared" si="53"/>
        <v>131.35951515151513</v>
      </c>
      <c r="P142" s="14" t="s">
        <v>384</v>
      </c>
    </row>
    <row r="143" spans="5:16">
      <c r="E143" s="13" t="s">
        <v>316</v>
      </c>
      <c r="F143" s="13" t="s">
        <v>385</v>
      </c>
      <c r="G143" s="4">
        <v>10</v>
      </c>
      <c r="H143" s="4">
        <v>1</v>
      </c>
      <c r="I143" s="4">
        <v>500</v>
      </c>
      <c r="J143" s="4">
        <v>10</v>
      </c>
      <c r="K143" s="4">
        <f t="shared" si="52"/>
        <v>510</v>
      </c>
      <c r="L143" s="4" t="s">
        <v>83</v>
      </c>
      <c r="M143" s="4">
        <v>49.5</v>
      </c>
      <c r="N143" s="14">
        <v>65175</v>
      </c>
      <c r="O143" s="5">
        <f t="shared" si="53"/>
        <v>134.29999999999998</v>
      </c>
      <c r="P143" s="14" t="s">
        <v>385</v>
      </c>
    </row>
    <row r="144" spans="5:16">
      <c r="E144" s="13" t="s">
        <v>386</v>
      </c>
      <c r="F144" s="13" t="s">
        <v>137</v>
      </c>
      <c r="G144" s="4">
        <v>10</v>
      </c>
      <c r="H144" s="4">
        <v>1</v>
      </c>
      <c r="I144" s="4">
        <v>500</v>
      </c>
      <c r="J144" s="4">
        <v>10</v>
      </c>
      <c r="K144" s="4">
        <f t="shared" si="52"/>
        <v>510</v>
      </c>
      <c r="L144" s="4" t="s">
        <v>83</v>
      </c>
      <c r="M144" s="4">
        <v>49.5</v>
      </c>
      <c r="N144" s="14">
        <v>10014</v>
      </c>
      <c r="O144" s="5">
        <f t="shared" si="53"/>
        <v>20.63490909090909</v>
      </c>
      <c r="P144" s="14" t="s">
        <v>137</v>
      </c>
    </row>
    <row r="145" spans="5:16">
      <c r="E145" s="13" t="s">
        <v>387</v>
      </c>
      <c r="F145" s="13" t="s">
        <v>139</v>
      </c>
      <c r="G145" s="4">
        <v>10</v>
      </c>
      <c r="H145" s="4">
        <v>1</v>
      </c>
      <c r="I145" s="4">
        <v>500</v>
      </c>
      <c r="J145" s="4">
        <v>10</v>
      </c>
      <c r="K145" s="4">
        <f t="shared" si="52"/>
        <v>510</v>
      </c>
      <c r="L145" s="4" t="s">
        <v>83</v>
      </c>
      <c r="M145" s="4">
        <v>49.5</v>
      </c>
      <c r="N145" s="14">
        <v>9938</v>
      </c>
      <c r="O145" s="5">
        <f t="shared" si="53"/>
        <v>20.478303030303028</v>
      </c>
      <c r="P145" s="14" t="s">
        <v>139</v>
      </c>
    </row>
    <row r="146" spans="5:16">
      <c r="E146" s="13" t="s">
        <v>388</v>
      </c>
      <c r="F146" s="13" t="s">
        <v>141</v>
      </c>
      <c r="G146" s="4">
        <v>10</v>
      </c>
      <c r="H146" s="4">
        <v>1</v>
      </c>
      <c r="I146" s="4">
        <v>500</v>
      </c>
      <c r="J146" s="4">
        <v>10</v>
      </c>
      <c r="K146" s="4">
        <f t="shared" si="52"/>
        <v>510</v>
      </c>
      <c r="L146" s="4" t="s">
        <v>83</v>
      </c>
      <c r="M146" s="4">
        <v>49.5</v>
      </c>
      <c r="N146" s="14">
        <v>9890</v>
      </c>
      <c r="O146" s="5">
        <f t="shared" si="53"/>
        <v>20.379393939393939</v>
      </c>
      <c r="P146" s="14" t="s">
        <v>141</v>
      </c>
    </row>
    <row r="147" spans="5:16">
      <c r="E147" s="13" t="s">
        <v>389</v>
      </c>
      <c r="F147" s="13" t="s">
        <v>143</v>
      </c>
      <c r="G147" s="4">
        <v>10</v>
      </c>
      <c r="H147" s="4">
        <v>1</v>
      </c>
      <c r="I147" s="4">
        <v>500</v>
      </c>
      <c r="J147" s="4">
        <v>10</v>
      </c>
      <c r="K147" s="4">
        <f t="shared" si="52"/>
        <v>510</v>
      </c>
      <c r="L147" s="4" t="s">
        <v>83</v>
      </c>
      <c r="M147" s="4">
        <v>49.5</v>
      </c>
      <c r="N147" s="14">
        <v>9999</v>
      </c>
      <c r="O147" s="5">
        <f t="shared" si="53"/>
        <v>20.603999999999999</v>
      </c>
      <c r="P147" s="14" t="s">
        <v>143</v>
      </c>
    </row>
    <row r="148" spans="5:16">
      <c r="E148" s="13" t="s">
        <v>390</v>
      </c>
      <c r="F148" s="13" t="s">
        <v>145</v>
      </c>
      <c r="G148" s="4">
        <v>10</v>
      </c>
      <c r="H148" s="4">
        <v>1</v>
      </c>
      <c r="I148" s="4">
        <v>500</v>
      </c>
      <c r="J148" s="4">
        <v>10</v>
      </c>
      <c r="K148" s="4">
        <f t="shared" si="52"/>
        <v>510</v>
      </c>
      <c r="L148" s="4" t="s">
        <v>83</v>
      </c>
      <c r="M148" s="4">
        <v>49.5</v>
      </c>
      <c r="N148" s="14">
        <v>10026</v>
      </c>
      <c r="O148" s="5">
        <f t="shared" si="53"/>
        <v>20.659636363636366</v>
      </c>
      <c r="P148" s="14" t="s">
        <v>145</v>
      </c>
    </row>
    <row r="149" spans="5:16">
      <c r="E149" s="13" t="s">
        <v>391</v>
      </c>
      <c r="F149" s="13" t="s">
        <v>147</v>
      </c>
      <c r="G149" s="4">
        <v>10</v>
      </c>
      <c r="H149" s="4">
        <v>1</v>
      </c>
      <c r="I149" s="4">
        <v>500</v>
      </c>
      <c r="J149" s="4">
        <v>10</v>
      </c>
      <c r="K149" s="4">
        <f t="shared" si="52"/>
        <v>510</v>
      </c>
      <c r="L149" s="4" t="s">
        <v>83</v>
      </c>
      <c r="M149" s="4">
        <v>49.5</v>
      </c>
      <c r="N149" s="14">
        <v>10019</v>
      </c>
      <c r="O149" s="5">
        <f t="shared" si="53"/>
        <v>20.645212121212118</v>
      </c>
      <c r="P149" s="14" t="s">
        <v>147</v>
      </c>
    </row>
    <row r="150" spans="5:16">
      <c r="E150" s="13" t="s">
        <v>392</v>
      </c>
      <c r="F150" s="13" t="s">
        <v>149</v>
      </c>
      <c r="G150" s="4">
        <v>10</v>
      </c>
      <c r="H150" s="4">
        <v>1</v>
      </c>
      <c r="I150" s="4">
        <v>500</v>
      </c>
      <c r="J150" s="4">
        <v>10</v>
      </c>
      <c r="K150" s="4">
        <f t="shared" si="52"/>
        <v>510</v>
      </c>
      <c r="L150" s="4" t="s">
        <v>83</v>
      </c>
      <c r="M150" s="4">
        <v>49.5</v>
      </c>
      <c r="N150" s="14">
        <v>8028</v>
      </c>
      <c r="O150" s="5">
        <f t="shared" si="53"/>
        <v>16.542545454545454</v>
      </c>
      <c r="P150" s="14" t="s">
        <v>149</v>
      </c>
    </row>
    <row r="151" spans="5:16">
      <c r="E151" s="13" t="s">
        <v>393</v>
      </c>
      <c r="F151" s="13" t="s">
        <v>151</v>
      </c>
      <c r="G151" s="4">
        <v>10</v>
      </c>
      <c r="H151" s="4">
        <v>1</v>
      </c>
      <c r="I151" s="4">
        <v>500</v>
      </c>
      <c r="J151" s="4">
        <v>10</v>
      </c>
      <c r="K151" s="4">
        <f t="shared" si="52"/>
        <v>510</v>
      </c>
      <c r="L151" s="4" t="s">
        <v>83</v>
      </c>
      <c r="M151" s="4">
        <v>49.5</v>
      </c>
      <c r="N151" s="14">
        <v>7932</v>
      </c>
      <c r="O151" s="5">
        <f t="shared" si="53"/>
        <v>16.344727272727269</v>
      </c>
      <c r="P151" s="14" t="s">
        <v>151</v>
      </c>
    </row>
    <row r="152" spans="5:16">
      <c r="E152" s="13" t="s">
        <v>323</v>
      </c>
      <c r="F152" s="13" t="s">
        <v>153</v>
      </c>
      <c r="G152" s="4">
        <v>10</v>
      </c>
      <c r="H152" s="4">
        <v>1</v>
      </c>
      <c r="I152" s="4">
        <v>500</v>
      </c>
      <c r="J152" s="4">
        <v>10</v>
      </c>
      <c r="K152" s="4">
        <f t="shared" si="52"/>
        <v>510</v>
      </c>
      <c r="L152" s="4" t="s">
        <v>83</v>
      </c>
      <c r="M152" s="4">
        <v>49.5</v>
      </c>
      <c r="N152" s="14">
        <v>8337</v>
      </c>
      <c r="O152" s="5">
        <f t="shared" si="53"/>
        <v>17.179272727272728</v>
      </c>
      <c r="P152" s="14" t="s">
        <v>153</v>
      </c>
    </row>
    <row r="153" spans="5:16">
      <c r="E153" s="13" t="s">
        <v>324</v>
      </c>
      <c r="F153" s="13" t="s">
        <v>155</v>
      </c>
      <c r="G153" s="4">
        <v>10</v>
      </c>
      <c r="H153" s="4">
        <v>1</v>
      </c>
      <c r="I153" s="4">
        <v>500</v>
      </c>
      <c r="J153" s="4">
        <v>10</v>
      </c>
      <c r="K153" s="4">
        <f t="shared" si="52"/>
        <v>510</v>
      </c>
      <c r="L153" s="4" t="s">
        <v>83</v>
      </c>
      <c r="M153" s="4">
        <v>49.5</v>
      </c>
      <c r="N153" s="14">
        <v>8133</v>
      </c>
      <c r="O153" s="5">
        <f t="shared" si="53"/>
        <v>16.758909090909093</v>
      </c>
      <c r="P153" s="14" t="s">
        <v>155</v>
      </c>
    </row>
    <row r="154" spans="5:16">
      <c r="E154" s="13" t="s">
        <v>325</v>
      </c>
      <c r="F154" s="13" t="s">
        <v>394</v>
      </c>
      <c r="G154" s="4">
        <v>10</v>
      </c>
      <c r="H154" s="4">
        <v>1</v>
      </c>
      <c r="I154" s="4">
        <v>500</v>
      </c>
      <c r="J154" s="4">
        <v>10</v>
      </c>
      <c r="K154" s="4">
        <f t="shared" si="52"/>
        <v>510</v>
      </c>
      <c r="L154" s="4" t="s">
        <v>83</v>
      </c>
      <c r="M154" s="4">
        <v>49.5</v>
      </c>
      <c r="N154" s="14">
        <v>8153</v>
      </c>
      <c r="O154" s="5">
        <f t="shared" si="53"/>
        <v>16.800121212121212</v>
      </c>
      <c r="P154" s="14" t="s">
        <v>394</v>
      </c>
    </row>
    <row r="155" spans="5:16">
      <c r="E155" s="13" t="s">
        <v>326</v>
      </c>
      <c r="F155" s="13" t="s">
        <v>159</v>
      </c>
      <c r="G155" s="4">
        <v>10</v>
      </c>
      <c r="H155" s="4">
        <v>1</v>
      </c>
      <c r="I155" s="4">
        <v>500</v>
      </c>
      <c r="J155" s="4">
        <v>10</v>
      </c>
      <c r="K155" s="4">
        <f t="shared" si="52"/>
        <v>510</v>
      </c>
      <c r="L155" s="4" t="s">
        <v>83</v>
      </c>
      <c r="M155" s="4">
        <v>49.5</v>
      </c>
      <c r="N155" s="14">
        <v>8233</v>
      </c>
      <c r="O155" s="5">
        <f t="shared" si="53"/>
        <v>16.964969696969696</v>
      </c>
      <c r="P155" s="14" t="s">
        <v>159</v>
      </c>
    </row>
    <row r="156" spans="5:16">
      <c r="E156" s="13" t="s">
        <v>109</v>
      </c>
      <c r="F156" s="13" t="s">
        <v>395</v>
      </c>
      <c r="G156" s="4">
        <v>10</v>
      </c>
      <c r="H156" s="4">
        <v>1</v>
      </c>
      <c r="I156" s="4">
        <v>500</v>
      </c>
      <c r="J156" s="4">
        <v>10</v>
      </c>
      <c r="K156" s="4">
        <f t="shared" si="52"/>
        <v>510</v>
      </c>
      <c r="L156" s="4" t="s">
        <v>83</v>
      </c>
      <c r="M156" s="4">
        <v>49.5</v>
      </c>
      <c r="N156" s="14">
        <v>1925</v>
      </c>
      <c r="O156" s="5">
        <f t="shared" si="53"/>
        <v>3.9666666666666668</v>
      </c>
      <c r="P156" s="14" t="s">
        <v>395</v>
      </c>
    </row>
    <row r="157" spans="5:16">
      <c r="E157" s="13" t="s">
        <v>110</v>
      </c>
      <c r="F157" s="13" t="s">
        <v>396</v>
      </c>
      <c r="G157" s="4">
        <v>10</v>
      </c>
      <c r="H157" s="4">
        <v>1</v>
      </c>
      <c r="I157" s="4">
        <v>500</v>
      </c>
      <c r="J157" s="4">
        <v>10</v>
      </c>
      <c r="K157" s="4">
        <f t="shared" si="52"/>
        <v>510</v>
      </c>
      <c r="L157" s="4" t="s">
        <v>83</v>
      </c>
      <c r="M157" s="4">
        <v>49.5</v>
      </c>
      <c r="N157" s="14">
        <v>2060</v>
      </c>
      <c r="O157" s="5">
        <f t="shared" si="53"/>
        <v>4.2448484848484842</v>
      </c>
      <c r="P157" s="14" t="s">
        <v>396</v>
      </c>
    </row>
    <row r="158" spans="5:16">
      <c r="E158" s="13" t="s">
        <v>111</v>
      </c>
      <c r="F158" s="13" t="s">
        <v>397</v>
      </c>
      <c r="G158" s="4">
        <v>10</v>
      </c>
      <c r="H158" s="4">
        <v>1</v>
      </c>
      <c r="I158" s="4">
        <v>500</v>
      </c>
      <c r="J158" s="4">
        <v>10</v>
      </c>
      <c r="K158" s="4">
        <f t="shared" si="52"/>
        <v>510</v>
      </c>
      <c r="L158" s="4" t="s">
        <v>83</v>
      </c>
      <c r="M158" s="4">
        <v>49.5</v>
      </c>
      <c r="N158" s="14">
        <v>2100</v>
      </c>
      <c r="O158" s="5">
        <f t="shared" si="53"/>
        <v>4.327272727272728</v>
      </c>
      <c r="P158" s="14" t="s">
        <v>397</v>
      </c>
    </row>
    <row r="159" spans="5:16">
      <c r="E159" s="13" t="s">
        <v>112</v>
      </c>
      <c r="F159" s="13" t="s">
        <v>398</v>
      </c>
      <c r="G159" s="4">
        <v>10</v>
      </c>
      <c r="H159" s="4">
        <v>1</v>
      </c>
      <c r="I159" s="4">
        <v>500</v>
      </c>
      <c r="J159" s="4">
        <v>10</v>
      </c>
      <c r="K159" s="4">
        <f t="shared" si="52"/>
        <v>510</v>
      </c>
      <c r="L159" s="4" t="s">
        <v>83</v>
      </c>
      <c r="M159" s="4">
        <v>49.5</v>
      </c>
      <c r="N159" s="14">
        <v>2077</v>
      </c>
      <c r="O159" s="5">
        <f t="shared" si="53"/>
        <v>4.2798787878787881</v>
      </c>
      <c r="P159" s="14" t="s">
        <v>398</v>
      </c>
    </row>
    <row r="160" spans="5:16">
      <c r="E160" s="13" t="s">
        <v>113</v>
      </c>
      <c r="F160" s="13" t="s">
        <v>399</v>
      </c>
      <c r="G160" s="4">
        <v>10</v>
      </c>
      <c r="H160" s="4">
        <v>1</v>
      </c>
      <c r="I160" s="4">
        <v>500</v>
      </c>
      <c r="J160" s="4">
        <v>10</v>
      </c>
      <c r="K160" s="4">
        <f t="shared" si="52"/>
        <v>510</v>
      </c>
      <c r="L160" s="4" t="s">
        <v>83</v>
      </c>
      <c r="M160" s="4">
        <v>49.5</v>
      </c>
      <c r="N160" s="14">
        <v>2040</v>
      </c>
      <c r="O160" s="5">
        <f t="shared" si="53"/>
        <v>4.2036363636363632</v>
      </c>
      <c r="P160" s="14" t="s">
        <v>399</v>
      </c>
    </row>
    <row r="161" spans="5:16">
      <c r="E161" s="13" t="s">
        <v>114</v>
      </c>
      <c r="F161" s="13" t="s">
        <v>400</v>
      </c>
      <c r="G161" s="4">
        <v>10</v>
      </c>
      <c r="H161" s="4">
        <v>1</v>
      </c>
      <c r="I161" s="4">
        <v>500</v>
      </c>
      <c r="J161" s="4">
        <v>10</v>
      </c>
      <c r="K161" s="4">
        <f t="shared" si="52"/>
        <v>510</v>
      </c>
      <c r="L161" s="4" t="s">
        <v>83</v>
      </c>
      <c r="M161" s="4">
        <v>49.5</v>
      </c>
      <c r="N161" s="14">
        <v>2069</v>
      </c>
      <c r="O161" s="5">
        <f t="shared" si="53"/>
        <v>4.2633939393939393</v>
      </c>
      <c r="P161" s="14" t="s">
        <v>400</v>
      </c>
    </row>
    <row r="162" spans="5:16">
      <c r="E162" s="13" t="s">
        <v>146</v>
      </c>
      <c r="F162" s="13" t="s">
        <v>197</v>
      </c>
      <c r="G162" s="4">
        <v>10</v>
      </c>
      <c r="H162" s="4">
        <v>1</v>
      </c>
      <c r="I162" s="4">
        <v>500</v>
      </c>
      <c r="J162" s="4">
        <v>0</v>
      </c>
      <c r="K162" s="4">
        <f t="shared" si="52"/>
        <v>500</v>
      </c>
      <c r="L162" s="4" t="s">
        <v>83</v>
      </c>
      <c r="M162" s="4">
        <v>49.5</v>
      </c>
      <c r="N162" s="14">
        <v>4750</v>
      </c>
      <c r="O162" s="5">
        <f t="shared" si="53"/>
        <v>9.5959595959595969</v>
      </c>
      <c r="P162" s="14" t="s">
        <v>197</v>
      </c>
    </row>
    <row r="163" spans="5:16">
      <c r="E163" s="13" t="s">
        <v>148</v>
      </c>
      <c r="F163" s="13" t="s">
        <v>199</v>
      </c>
      <c r="G163" s="4">
        <v>10</v>
      </c>
      <c r="H163" s="4">
        <v>1</v>
      </c>
      <c r="I163" s="4">
        <v>500</v>
      </c>
      <c r="J163" s="4">
        <v>0</v>
      </c>
      <c r="K163" s="4">
        <f t="shared" si="52"/>
        <v>500</v>
      </c>
      <c r="L163" s="4" t="s">
        <v>83</v>
      </c>
      <c r="M163" s="4">
        <v>49.5</v>
      </c>
      <c r="N163" s="14">
        <v>1930</v>
      </c>
      <c r="O163" s="5">
        <f t="shared" si="53"/>
        <v>3.8989898989898992</v>
      </c>
      <c r="P163" s="14" t="s">
        <v>199</v>
      </c>
    </row>
    <row r="164" spans="5:16">
      <c r="E164" s="13" t="s">
        <v>150</v>
      </c>
      <c r="F164" s="13" t="s">
        <v>201</v>
      </c>
      <c r="G164" s="4">
        <v>10</v>
      </c>
      <c r="H164" s="4">
        <v>1</v>
      </c>
      <c r="I164" s="4">
        <v>500</v>
      </c>
      <c r="J164" s="4">
        <v>0</v>
      </c>
      <c r="K164" s="4">
        <f t="shared" si="52"/>
        <v>500</v>
      </c>
      <c r="L164" s="4" t="s">
        <v>83</v>
      </c>
      <c r="M164" s="4">
        <v>49.5</v>
      </c>
      <c r="N164" s="14">
        <v>1323</v>
      </c>
      <c r="O164" s="5">
        <f t="shared" si="53"/>
        <v>2.6727272727272724</v>
      </c>
      <c r="P164" s="14" t="s">
        <v>201</v>
      </c>
    </row>
    <row r="165" spans="5:16">
      <c r="E165" s="13" t="s">
        <v>152</v>
      </c>
      <c r="F165" s="13" t="s">
        <v>203</v>
      </c>
      <c r="G165" s="4">
        <v>10</v>
      </c>
      <c r="H165" s="4">
        <v>1</v>
      </c>
      <c r="I165" s="4">
        <v>500</v>
      </c>
      <c r="J165" s="4">
        <v>0</v>
      </c>
      <c r="K165" s="4">
        <f t="shared" si="52"/>
        <v>500</v>
      </c>
      <c r="L165" s="4" t="s">
        <v>83</v>
      </c>
      <c r="M165" s="4">
        <v>49.5</v>
      </c>
      <c r="N165" s="14">
        <v>668</v>
      </c>
      <c r="O165" s="5">
        <f t="shared" si="53"/>
        <v>1.3494949494949495</v>
      </c>
      <c r="P165" s="14" t="s">
        <v>203</v>
      </c>
    </row>
    <row r="166" spans="5:16">
      <c r="E166" s="13" t="s">
        <v>154</v>
      </c>
      <c r="F166" s="13" t="s">
        <v>205</v>
      </c>
      <c r="G166" s="4">
        <v>10</v>
      </c>
      <c r="H166" s="4">
        <v>1</v>
      </c>
      <c r="I166" s="4">
        <v>500</v>
      </c>
      <c r="J166" s="4">
        <v>0</v>
      </c>
      <c r="K166" s="4">
        <f t="shared" si="52"/>
        <v>500</v>
      </c>
      <c r="L166" s="4" t="s">
        <v>83</v>
      </c>
      <c r="M166" s="4">
        <v>49.5</v>
      </c>
      <c r="N166" s="14">
        <v>459</v>
      </c>
      <c r="O166" s="5">
        <f t="shared" si="53"/>
        <v>0.92727272727272725</v>
      </c>
      <c r="P166" s="14" t="s">
        <v>205</v>
      </c>
    </row>
    <row r="167" spans="5:16">
      <c r="E167" s="13" t="s">
        <v>156</v>
      </c>
      <c r="F167" s="13" t="s">
        <v>207</v>
      </c>
      <c r="G167" s="4">
        <v>10</v>
      </c>
      <c r="H167" s="4">
        <v>1</v>
      </c>
      <c r="I167" s="4">
        <v>500</v>
      </c>
      <c r="J167" s="4">
        <v>0</v>
      </c>
      <c r="K167" s="4">
        <f t="shared" si="52"/>
        <v>500</v>
      </c>
      <c r="L167" s="4" t="s">
        <v>83</v>
      </c>
      <c r="M167" s="4">
        <v>49.5</v>
      </c>
      <c r="N167" s="14">
        <v>357</v>
      </c>
      <c r="O167" s="5">
        <f t="shared" si="53"/>
        <v>0.7212121212121213</v>
      </c>
      <c r="P167" s="14" t="s">
        <v>207</v>
      </c>
    </row>
    <row r="168" spans="5:16">
      <c r="E168" s="13" t="s">
        <v>158</v>
      </c>
      <c r="F168" s="13" t="s">
        <v>209</v>
      </c>
      <c r="G168" s="4">
        <v>10</v>
      </c>
      <c r="H168" s="4">
        <v>1</v>
      </c>
      <c r="I168" s="4">
        <v>500</v>
      </c>
      <c r="J168" s="4">
        <v>0</v>
      </c>
      <c r="K168" s="4">
        <f t="shared" si="52"/>
        <v>500</v>
      </c>
      <c r="L168" s="4" t="s">
        <v>83</v>
      </c>
      <c r="M168" s="4">
        <v>49.5</v>
      </c>
      <c r="N168" s="14">
        <v>390</v>
      </c>
      <c r="O168" s="5">
        <f t="shared" si="53"/>
        <v>0.78787878787878785</v>
      </c>
      <c r="P168" s="14" t="s">
        <v>209</v>
      </c>
    </row>
    <row r="169" spans="5:16">
      <c r="E169" s="13" t="s">
        <v>401</v>
      </c>
      <c r="F169" s="13" t="s">
        <v>211</v>
      </c>
      <c r="G169" s="4">
        <v>10</v>
      </c>
      <c r="H169" s="4">
        <v>1</v>
      </c>
      <c r="I169" s="4">
        <v>500</v>
      </c>
      <c r="J169" s="4">
        <v>0</v>
      </c>
      <c r="K169" s="4">
        <f t="shared" si="52"/>
        <v>500</v>
      </c>
      <c r="L169" s="4" t="s">
        <v>83</v>
      </c>
      <c r="M169" s="4">
        <v>49.5</v>
      </c>
      <c r="N169" s="14">
        <v>487</v>
      </c>
      <c r="O169" s="5">
        <f t="shared" si="53"/>
        <v>0.98383838383838373</v>
      </c>
      <c r="P169" s="14" t="s">
        <v>211</v>
      </c>
    </row>
    <row r="170" spans="5:16">
      <c r="E170" s="13" t="s">
        <v>402</v>
      </c>
      <c r="F170" s="13" t="s">
        <v>213</v>
      </c>
      <c r="G170" s="4">
        <v>10</v>
      </c>
      <c r="H170" s="4">
        <v>1</v>
      </c>
      <c r="I170" s="4">
        <v>500</v>
      </c>
      <c r="J170" s="4">
        <v>0</v>
      </c>
      <c r="K170" s="4">
        <f t="shared" si="52"/>
        <v>500</v>
      </c>
      <c r="L170" s="4" t="s">
        <v>83</v>
      </c>
      <c r="M170" s="4">
        <v>49.5</v>
      </c>
      <c r="N170" s="14">
        <v>416</v>
      </c>
      <c r="O170" s="5">
        <f t="shared" si="53"/>
        <v>0.84040404040404026</v>
      </c>
      <c r="P170" s="14" t="s">
        <v>213</v>
      </c>
    </row>
    <row r="171" spans="5:16">
      <c r="E171" s="13" t="s">
        <v>403</v>
      </c>
      <c r="F171" s="13" t="s">
        <v>215</v>
      </c>
      <c r="G171" s="4">
        <v>10</v>
      </c>
      <c r="H171" s="4">
        <v>1</v>
      </c>
      <c r="I171" s="4">
        <v>500</v>
      </c>
      <c r="J171" s="4">
        <v>0</v>
      </c>
      <c r="K171" s="4">
        <f t="shared" ref="K171:K197" si="54">I171+J171</f>
        <v>500</v>
      </c>
      <c r="L171" s="4" t="s">
        <v>83</v>
      </c>
      <c r="M171" s="4">
        <v>49.5</v>
      </c>
      <c r="N171" s="14">
        <v>129</v>
      </c>
      <c r="O171" s="5">
        <f t="shared" ref="O171:O197" si="55">((((N171)/((M171*H171)/1000))*G171)*(K171/I171))/100000</f>
        <v>0.26060606060606062</v>
      </c>
      <c r="P171" s="14" t="s">
        <v>215</v>
      </c>
    </row>
    <row r="172" spans="5:16">
      <c r="E172" s="13" t="s">
        <v>160</v>
      </c>
      <c r="F172" s="13" t="s">
        <v>217</v>
      </c>
      <c r="G172" s="4">
        <v>10</v>
      </c>
      <c r="H172" s="4">
        <v>1</v>
      </c>
      <c r="I172" s="4">
        <v>500</v>
      </c>
      <c r="J172" s="4">
        <v>0</v>
      </c>
      <c r="K172" s="4">
        <f t="shared" si="54"/>
        <v>500</v>
      </c>
      <c r="L172" s="4" t="s">
        <v>83</v>
      </c>
      <c r="M172" s="4">
        <v>49.5</v>
      </c>
      <c r="N172" s="14">
        <v>98</v>
      </c>
      <c r="O172" s="5">
        <f t="shared" si="55"/>
        <v>0.19797979797979795</v>
      </c>
      <c r="P172" s="14" t="s">
        <v>217</v>
      </c>
    </row>
    <row r="173" spans="5:16">
      <c r="E173" s="13" t="s">
        <v>162</v>
      </c>
      <c r="F173" s="13" t="s">
        <v>219</v>
      </c>
      <c r="G173" s="4">
        <v>10</v>
      </c>
      <c r="H173" s="4">
        <v>1</v>
      </c>
      <c r="I173" s="4">
        <v>500</v>
      </c>
      <c r="J173" s="4">
        <v>0</v>
      </c>
      <c r="K173" s="4">
        <f t="shared" si="54"/>
        <v>500</v>
      </c>
      <c r="L173" s="4" t="s">
        <v>83</v>
      </c>
      <c r="M173" s="4">
        <v>49.5</v>
      </c>
      <c r="N173" s="14">
        <v>94</v>
      </c>
      <c r="O173" s="5">
        <f t="shared" si="55"/>
        <v>0.1898989898989899</v>
      </c>
      <c r="P173" s="14" t="s">
        <v>219</v>
      </c>
    </row>
    <row r="174" spans="5:16">
      <c r="E174" s="13" t="s">
        <v>164</v>
      </c>
      <c r="F174" s="13" t="s">
        <v>245</v>
      </c>
      <c r="G174" s="4">
        <v>10</v>
      </c>
      <c r="H174" s="4">
        <v>1</v>
      </c>
      <c r="I174" s="4">
        <v>500</v>
      </c>
      <c r="J174" s="4">
        <v>0</v>
      </c>
      <c r="K174" s="4">
        <f t="shared" si="54"/>
        <v>500</v>
      </c>
      <c r="L174" s="4" t="s">
        <v>83</v>
      </c>
      <c r="M174" s="4">
        <v>49.5</v>
      </c>
      <c r="N174" s="14">
        <v>791</v>
      </c>
      <c r="O174" s="5">
        <f t="shared" si="55"/>
        <v>1.5979797979797978</v>
      </c>
      <c r="P174" s="14" t="s">
        <v>245</v>
      </c>
    </row>
    <row r="175" spans="5:16">
      <c r="E175" s="13" t="s">
        <v>166</v>
      </c>
      <c r="F175" s="13" t="s">
        <v>246</v>
      </c>
      <c r="G175" s="4">
        <v>10</v>
      </c>
      <c r="H175" s="4">
        <v>1</v>
      </c>
      <c r="I175" s="4">
        <v>500</v>
      </c>
      <c r="J175" s="4">
        <v>0</v>
      </c>
      <c r="K175" s="4">
        <f t="shared" si="54"/>
        <v>500</v>
      </c>
      <c r="L175" s="4" t="s">
        <v>83</v>
      </c>
      <c r="M175" s="4">
        <v>49.5</v>
      </c>
      <c r="N175" s="14">
        <v>933</v>
      </c>
      <c r="O175" s="5">
        <f t="shared" si="55"/>
        <v>1.8848484848484848</v>
      </c>
      <c r="P175" s="14" t="s">
        <v>246</v>
      </c>
    </row>
    <row r="176" spans="5:16">
      <c r="E176" s="13" t="s">
        <v>168</v>
      </c>
      <c r="F176" s="13" t="s">
        <v>247</v>
      </c>
      <c r="G176" s="4">
        <v>10</v>
      </c>
      <c r="H176" s="4">
        <v>1</v>
      </c>
      <c r="I176" s="4">
        <v>500</v>
      </c>
      <c r="J176" s="4">
        <v>0</v>
      </c>
      <c r="K176" s="4">
        <f t="shared" si="54"/>
        <v>500</v>
      </c>
      <c r="L176" s="4" t="s">
        <v>83</v>
      </c>
      <c r="M176" s="4">
        <v>49.5</v>
      </c>
      <c r="N176" s="14">
        <v>505</v>
      </c>
      <c r="O176" s="5">
        <f t="shared" si="55"/>
        <v>1.0202020202020201</v>
      </c>
      <c r="P176" s="14" t="s">
        <v>247</v>
      </c>
    </row>
    <row r="177" spans="5:16">
      <c r="E177" s="13" t="s">
        <v>170</v>
      </c>
      <c r="F177" s="13" t="s">
        <v>248</v>
      </c>
      <c r="G177" s="4">
        <v>10</v>
      </c>
      <c r="H177" s="4">
        <v>1</v>
      </c>
      <c r="I177" s="4">
        <v>500</v>
      </c>
      <c r="J177" s="4">
        <v>0</v>
      </c>
      <c r="K177" s="4">
        <f t="shared" si="54"/>
        <v>500</v>
      </c>
      <c r="L177" s="4" t="s">
        <v>83</v>
      </c>
      <c r="M177" s="4">
        <v>49.5</v>
      </c>
      <c r="N177" s="14">
        <v>259</v>
      </c>
      <c r="O177" s="5">
        <f t="shared" si="55"/>
        <v>0.52323232323232327</v>
      </c>
      <c r="P177" s="14" t="s">
        <v>248</v>
      </c>
    </row>
    <row r="178" spans="5:16">
      <c r="E178" s="13" t="s">
        <v>172</v>
      </c>
      <c r="F178" s="13" t="s">
        <v>249</v>
      </c>
      <c r="G178" s="4">
        <v>10</v>
      </c>
      <c r="H178" s="4">
        <v>1</v>
      </c>
      <c r="I178" s="4">
        <v>500</v>
      </c>
      <c r="J178" s="4">
        <v>0</v>
      </c>
      <c r="K178" s="4">
        <f t="shared" si="54"/>
        <v>500</v>
      </c>
      <c r="L178" s="4" t="s">
        <v>83</v>
      </c>
      <c r="M178" s="4">
        <v>49.5</v>
      </c>
      <c r="N178" s="14">
        <v>174</v>
      </c>
      <c r="O178" s="5">
        <f t="shared" si="55"/>
        <v>0.3515151515151515</v>
      </c>
      <c r="P178" s="14" t="s">
        <v>249</v>
      </c>
    </row>
    <row r="179" spans="5:16">
      <c r="E179" s="13" t="s">
        <v>174</v>
      </c>
      <c r="F179" s="13" t="s">
        <v>250</v>
      </c>
      <c r="G179" s="4">
        <v>10</v>
      </c>
      <c r="H179" s="4">
        <v>1</v>
      </c>
      <c r="I179" s="4">
        <v>500</v>
      </c>
      <c r="J179" s="4">
        <v>0</v>
      </c>
      <c r="K179" s="4">
        <f t="shared" si="54"/>
        <v>500</v>
      </c>
      <c r="L179" s="4" t="s">
        <v>83</v>
      </c>
      <c r="M179" s="4">
        <v>49.5</v>
      </c>
      <c r="N179" s="14">
        <v>109</v>
      </c>
      <c r="O179" s="5">
        <f t="shared" si="55"/>
        <v>0.22020202020202018</v>
      </c>
      <c r="P179" s="14" t="s">
        <v>250</v>
      </c>
    </row>
    <row r="180" spans="5:16">
      <c r="E180" s="13" t="s">
        <v>176</v>
      </c>
      <c r="F180" s="13" t="s">
        <v>251</v>
      </c>
      <c r="G180" s="4">
        <v>10</v>
      </c>
      <c r="H180" s="4">
        <v>1</v>
      </c>
      <c r="I180" s="4">
        <v>500</v>
      </c>
      <c r="J180" s="4">
        <v>0</v>
      </c>
      <c r="K180" s="4">
        <f t="shared" si="54"/>
        <v>500</v>
      </c>
      <c r="L180" s="4" t="s">
        <v>83</v>
      </c>
      <c r="M180" s="4">
        <v>49.5</v>
      </c>
      <c r="N180" s="14">
        <v>454</v>
      </c>
      <c r="O180" s="5">
        <f t="shared" si="55"/>
        <v>0.91717171717171719</v>
      </c>
      <c r="P180" s="14" t="s">
        <v>251</v>
      </c>
    </row>
    <row r="181" spans="5:16">
      <c r="E181" s="13" t="s">
        <v>178</v>
      </c>
      <c r="F181" s="13" t="s">
        <v>252</v>
      </c>
      <c r="G181" s="4">
        <v>10</v>
      </c>
      <c r="H181" s="4">
        <v>1</v>
      </c>
      <c r="I181" s="4">
        <v>500</v>
      </c>
      <c r="J181" s="4">
        <v>0</v>
      </c>
      <c r="K181" s="4">
        <f t="shared" si="54"/>
        <v>500</v>
      </c>
      <c r="L181" s="4" t="s">
        <v>83</v>
      </c>
      <c r="M181" s="4">
        <v>49.5</v>
      </c>
      <c r="N181" s="14">
        <v>311</v>
      </c>
      <c r="O181" s="5">
        <f t="shared" si="55"/>
        <v>0.62828282828282822</v>
      </c>
      <c r="P181" s="14" t="s">
        <v>252</v>
      </c>
    </row>
    <row r="182" spans="5:16">
      <c r="E182" s="13" t="s">
        <v>180</v>
      </c>
      <c r="F182" s="13" t="s">
        <v>253</v>
      </c>
      <c r="G182" s="4">
        <v>10</v>
      </c>
      <c r="H182" s="4">
        <v>1</v>
      </c>
      <c r="I182" s="4">
        <v>500</v>
      </c>
      <c r="J182" s="4">
        <v>0</v>
      </c>
      <c r="K182" s="4">
        <f t="shared" si="54"/>
        <v>500</v>
      </c>
      <c r="L182" s="4" t="s">
        <v>83</v>
      </c>
      <c r="M182" s="4">
        <v>49.5</v>
      </c>
      <c r="N182" s="14">
        <v>297</v>
      </c>
      <c r="O182" s="5">
        <f t="shared" si="55"/>
        <v>0.6</v>
      </c>
      <c r="P182" s="14" t="s">
        <v>253</v>
      </c>
    </row>
    <row r="183" spans="5:16">
      <c r="E183" s="13" t="s">
        <v>182</v>
      </c>
      <c r="F183" s="13" t="s">
        <v>254</v>
      </c>
      <c r="G183" s="4">
        <v>10</v>
      </c>
      <c r="H183" s="4">
        <v>1</v>
      </c>
      <c r="I183" s="4">
        <v>500</v>
      </c>
      <c r="J183" s="4">
        <v>0</v>
      </c>
      <c r="K183" s="4">
        <f t="shared" si="54"/>
        <v>500</v>
      </c>
      <c r="L183" s="4" t="s">
        <v>83</v>
      </c>
      <c r="M183" s="4">
        <v>49.5</v>
      </c>
      <c r="N183" s="14">
        <v>102</v>
      </c>
      <c r="O183" s="5">
        <f t="shared" si="55"/>
        <v>0.20606060606060606</v>
      </c>
      <c r="P183" s="14" t="s">
        <v>254</v>
      </c>
    </row>
    <row r="184" spans="5:16">
      <c r="E184" s="13" t="s">
        <v>184</v>
      </c>
      <c r="F184" s="13" t="s">
        <v>255</v>
      </c>
      <c r="G184" s="4">
        <v>10</v>
      </c>
      <c r="H184" s="4">
        <v>1</v>
      </c>
      <c r="I184" s="4">
        <v>500</v>
      </c>
      <c r="J184" s="4">
        <v>0</v>
      </c>
      <c r="K184" s="4">
        <f t="shared" si="54"/>
        <v>500</v>
      </c>
      <c r="L184" s="4" t="s">
        <v>83</v>
      </c>
      <c r="M184" s="4">
        <v>49.5</v>
      </c>
      <c r="N184" s="14">
        <v>120</v>
      </c>
      <c r="O184" s="5">
        <f t="shared" si="55"/>
        <v>0.2424242424242424</v>
      </c>
      <c r="P184" s="14" t="s">
        <v>255</v>
      </c>
    </row>
    <row r="185" spans="5:16">
      <c r="E185" s="13" t="s">
        <v>186</v>
      </c>
      <c r="F185" s="13" t="s">
        <v>256</v>
      </c>
      <c r="G185" s="4">
        <v>10</v>
      </c>
      <c r="H185" s="4">
        <v>1</v>
      </c>
      <c r="I185" s="4">
        <v>500</v>
      </c>
      <c r="J185" s="4">
        <v>0</v>
      </c>
      <c r="K185" s="4">
        <f t="shared" si="54"/>
        <v>500</v>
      </c>
      <c r="L185" s="4" t="s">
        <v>83</v>
      </c>
      <c r="M185" s="4">
        <v>49.5</v>
      </c>
      <c r="N185" s="14">
        <v>107</v>
      </c>
      <c r="O185" s="5">
        <f t="shared" si="55"/>
        <v>0.21616161616161619</v>
      </c>
      <c r="P185" s="14" t="s">
        <v>256</v>
      </c>
    </row>
    <row r="186" spans="5:16">
      <c r="E186" s="13" t="s">
        <v>224</v>
      </c>
      <c r="F186" s="13" t="s">
        <v>137</v>
      </c>
      <c r="G186" s="4">
        <v>10</v>
      </c>
      <c r="H186" s="4">
        <v>1</v>
      </c>
      <c r="I186" s="4">
        <v>500</v>
      </c>
      <c r="J186" s="4">
        <v>0</v>
      </c>
      <c r="K186" s="4">
        <f t="shared" si="54"/>
        <v>500</v>
      </c>
      <c r="L186" s="4" t="s">
        <v>83</v>
      </c>
      <c r="M186" s="4">
        <v>49.5</v>
      </c>
      <c r="N186" s="14">
        <v>1556</v>
      </c>
      <c r="O186" s="5">
        <f t="shared" si="55"/>
        <v>3.1434343434343432</v>
      </c>
      <c r="P186" s="14" t="s">
        <v>137</v>
      </c>
    </row>
    <row r="187" spans="5:16">
      <c r="E187" s="13" t="s">
        <v>226</v>
      </c>
      <c r="F187" s="13" t="s">
        <v>139</v>
      </c>
      <c r="G187" s="4">
        <v>10</v>
      </c>
      <c r="H187" s="4">
        <v>1</v>
      </c>
      <c r="I187" s="4">
        <v>500</v>
      </c>
      <c r="J187" s="4">
        <v>0</v>
      </c>
      <c r="K187" s="4">
        <f t="shared" si="54"/>
        <v>500</v>
      </c>
      <c r="L187" s="4" t="s">
        <v>83</v>
      </c>
      <c r="M187" s="4">
        <v>49.5</v>
      </c>
      <c r="N187" s="14">
        <v>950</v>
      </c>
      <c r="O187" s="5">
        <f t="shared" si="55"/>
        <v>1.9191919191919191</v>
      </c>
      <c r="P187" s="14" t="s">
        <v>139</v>
      </c>
    </row>
    <row r="188" spans="5:16">
      <c r="E188" s="13" t="s">
        <v>228</v>
      </c>
      <c r="F188" s="13" t="s">
        <v>141</v>
      </c>
      <c r="G188" s="4">
        <v>10</v>
      </c>
      <c r="H188" s="4">
        <v>1</v>
      </c>
      <c r="I188" s="4">
        <v>500</v>
      </c>
      <c r="J188" s="4">
        <v>0</v>
      </c>
      <c r="K188" s="4">
        <f t="shared" si="54"/>
        <v>500</v>
      </c>
      <c r="L188" s="4" t="s">
        <v>83</v>
      </c>
      <c r="M188" s="4">
        <v>49.5</v>
      </c>
      <c r="N188" s="14">
        <v>639</v>
      </c>
      <c r="O188" s="5">
        <f t="shared" si="55"/>
        <v>1.2909090909090908</v>
      </c>
      <c r="P188" s="14" t="s">
        <v>141</v>
      </c>
    </row>
    <row r="189" spans="5:16">
      <c r="E189" s="13" t="s">
        <v>230</v>
      </c>
      <c r="F189" s="13" t="s">
        <v>143</v>
      </c>
      <c r="G189" s="4">
        <v>10</v>
      </c>
      <c r="H189" s="4">
        <v>1</v>
      </c>
      <c r="I189" s="4">
        <v>500</v>
      </c>
      <c r="J189" s="4">
        <v>0</v>
      </c>
      <c r="K189" s="4">
        <f t="shared" si="54"/>
        <v>500</v>
      </c>
      <c r="L189" s="4" t="s">
        <v>83</v>
      </c>
      <c r="M189" s="4">
        <v>49.5</v>
      </c>
      <c r="N189" s="14">
        <v>468</v>
      </c>
      <c r="O189" s="5">
        <f t="shared" si="55"/>
        <v>0.94545454545454544</v>
      </c>
      <c r="P189" s="14" t="s">
        <v>143</v>
      </c>
    </row>
    <row r="190" spans="5:16">
      <c r="E190" s="13" t="s">
        <v>232</v>
      </c>
      <c r="F190" s="13" t="s">
        <v>145</v>
      </c>
      <c r="G190" s="4">
        <v>10</v>
      </c>
      <c r="H190" s="4">
        <v>1</v>
      </c>
      <c r="I190" s="4">
        <v>500</v>
      </c>
      <c r="J190" s="4">
        <v>0</v>
      </c>
      <c r="K190" s="4">
        <f t="shared" si="54"/>
        <v>500</v>
      </c>
      <c r="L190" s="4" t="s">
        <v>83</v>
      </c>
      <c r="M190" s="4">
        <v>49.5</v>
      </c>
      <c r="N190" s="14">
        <v>313</v>
      </c>
      <c r="O190" s="5">
        <f t="shared" si="55"/>
        <v>0.6323232323232324</v>
      </c>
      <c r="P190" s="14" t="s">
        <v>145</v>
      </c>
    </row>
    <row r="191" spans="5:16">
      <c r="E191" s="13" t="s">
        <v>234</v>
      </c>
      <c r="F191" s="13" t="s">
        <v>147</v>
      </c>
      <c r="G191" s="4">
        <v>10</v>
      </c>
      <c r="H191" s="4">
        <v>1</v>
      </c>
      <c r="I191" s="4">
        <v>500</v>
      </c>
      <c r="J191" s="4">
        <v>0</v>
      </c>
      <c r="K191" s="4">
        <f t="shared" si="54"/>
        <v>500</v>
      </c>
      <c r="L191" s="4" t="s">
        <v>83</v>
      </c>
      <c r="M191" s="4">
        <v>49.5</v>
      </c>
      <c r="N191" s="14">
        <v>303</v>
      </c>
      <c r="O191" s="5">
        <f t="shared" si="55"/>
        <v>0.61212121212121207</v>
      </c>
      <c r="P191" s="14" t="s">
        <v>147</v>
      </c>
    </row>
    <row r="192" spans="5:16">
      <c r="E192" s="13" t="s">
        <v>236</v>
      </c>
      <c r="F192" s="13" t="s">
        <v>149</v>
      </c>
      <c r="G192" s="4">
        <v>10</v>
      </c>
      <c r="H192" s="4">
        <v>1</v>
      </c>
      <c r="I192" s="4">
        <v>500</v>
      </c>
      <c r="J192" s="4">
        <v>0</v>
      </c>
      <c r="K192" s="4">
        <f t="shared" si="54"/>
        <v>500</v>
      </c>
      <c r="L192" s="4" t="s">
        <v>83</v>
      </c>
      <c r="M192" s="4">
        <v>49.5</v>
      </c>
      <c r="N192" s="14">
        <v>256</v>
      </c>
      <c r="O192" s="5">
        <f t="shared" si="55"/>
        <v>0.51717171717171717</v>
      </c>
      <c r="P192" s="14" t="s">
        <v>149</v>
      </c>
    </row>
    <row r="193" spans="5:16">
      <c r="E193" s="13" t="s">
        <v>238</v>
      </c>
      <c r="F193" s="13" t="s">
        <v>151</v>
      </c>
      <c r="G193" s="4">
        <v>10</v>
      </c>
      <c r="H193" s="4">
        <v>1</v>
      </c>
      <c r="I193" s="4">
        <v>500</v>
      </c>
      <c r="J193" s="4">
        <v>0</v>
      </c>
      <c r="K193" s="4">
        <f t="shared" si="54"/>
        <v>500</v>
      </c>
      <c r="L193" s="4" t="s">
        <v>83</v>
      </c>
      <c r="M193" s="4">
        <v>49.5</v>
      </c>
      <c r="N193" s="14">
        <v>200</v>
      </c>
      <c r="O193" s="5">
        <f t="shared" si="55"/>
        <v>0.40404040404040403</v>
      </c>
      <c r="P193" s="14" t="s">
        <v>151</v>
      </c>
    </row>
    <row r="194" spans="5:16">
      <c r="E194" s="13" t="s">
        <v>240</v>
      </c>
      <c r="F194" s="13" t="s">
        <v>153</v>
      </c>
      <c r="G194" s="4">
        <v>10</v>
      </c>
      <c r="H194" s="4">
        <v>1</v>
      </c>
      <c r="I194" s="4">
        <v>500</v>
      </c>
      <c r="J194" s="4">
        <v>0</v>
      </c>
      <c r="K194" s="4">
        <f t="shared" si="54"/>
        <v>500</v>
      </c>
      <c r="L194" s="4" t="s">
        <v>83</v>
      </c>
      <c r="M194" s="4">
        <v>49.5</v>
      </c>
      <c r="N194" s="14">
        <v>162</v>
      </c>
      <c r="O194" s="5">
        <f t="shared" si="55"/>
        <v>0.32727272727272727</v>
      </c>
      <c r="P194" s="14" t="s">
        <v>153</v>
      </c>
    </row>
    <row r="195" spans="5:16">
      <c r="E195" s="13" t="s">
        <v>242</v>
      </c>
      <c r="F195" s="13" t="s">
        <v>155</v>
      </c>
      <c r="G195" s="4">
        <v>10</v>
      </c>
      <c r="H195" s="4">
        <v>1</v>
      </c>
      <c r="I195" s="4">
        <v>500</v>
      </c>
      <c r="J195" s="4">
        <v>0</v>
      </c>
      <c r="K195" s="4">
        <f t="shared" si="54"/>
        <v>500</v>
      </c>
      <c r="L195" s="4" t="s">
        <v>83</v>
      </c>
      <c r="M195" s="4">
        <v>49.5</v>
      </c>
      <c r="N195" s="14">
        <v>143</v>
      </c>
      <c r="O195" s="5">
        <f t="shared" si="55"/>
        <v>0.28888888888888886</v>
      </c>
      <c r="P195" s="14" t="s">
        <v>155</v>
      </c>
    </row>
    <row r="196" spans="5:16">
      <c r="E196" s="13" t="s">
        <v>343</v>
      </c>
      <c r="F196" s="13" t="s">
        <v>394</v>
      </c>
      <c r="G196" s="4">
        <v>10</v>
      </c>
      <c r="H196" s="4">
        <v>1</v>
      </c>
      <c r="I196" s="4">
        <v>500</v>
      </c>
      <c r="J196" s="4">
        <v>0</v>
      </c>
      <c r="K196" s="4">
        <f t="shared" si="54"/>
        <v>500</v>
      </c>
      <c r="L196" s="4" t="s">
        <v>83</v>
      </c>
      <c r="M196" s="4">
        <v>49.5</v>
      </c>
      <c r="N196" s="14">
        <v>149</v>
      </c>
      <c r="O196" s="5">
        <f t="shared" si="55"/>
        <v>0.30101010101010101</v>
      </c>
      <c r="P196" s="14" t="s">
        <v>394</v>
      </c>
    </row>
    <row r="197" spans="5:16">
      <c r="E197" s="13" t="s">
        <v>344</v>
      </c>
      <c r="F197" s="13" t="s">
        <v>159</v>
      </c>
      <c r="G197" s="4">
        <v>10</v>
      </c>
      <c r="H197" s="4">
        <v>1</v>
      </c>
      <c r="I197" s="4">
        <v>500</v>
      </c>
      <c r="J197" s="4">
        <v>0</v>
      </c>
      <c r="K197" s="4">
        <f t="shared" si="54"/>
        <v>500</v>
      </c>
      <c r="L197" s="4" t="s">
        <v>83</v>
      </c>
      <c r="M197" s="4">
        <v>49.5</v>
      </c>
      <c r="N197" s="14">
        <v>126</v>
      </c>
      <c r="O197" s="5">
        <f t="shared" si="55"/>
        <v>0.25454545454545457</v>
      </c>
      <c r="P197" s="14" t="s">
        <v>159</v>
      </c>
    </row>
    <row r="198" spans="5:16">
      <c r="G198" s="4"/>
      <c r="H198" s="4"/>
      <c r="I198" s="4"/>
      <c r="J198" s="4"/>
      <c r="K198" s="4"/>
      <c r="L198" s="4"/>
      <c r="M198" s="4"/>
      <c r="N198" s="14"/>
      <c r="O198" s="5"/>
    </row>
    <row r="199" spans="5:16">
      <c r="E199" s="23" t="s">
        <v>25</v>
      </c>
      <c r="F199" s="23" t="s">
        <v>383</v>
      </c>
      <c r="G199" s="4">
        <v>100</v>
      </c>
      <c r="H199" s="4">
        <v>1</v>
      </c>
      <c r="I199" s="4">
        <v>500</v>
      </c>
      <c r="J199" s="4">
        <v>10</v>
      </c>
      <c r="K199" s="4">
        <f t="shared" ref="K199:K204" si="56">I199+J199</f>
        <v>510</v>
      </c>
      <c r="L199" s="4" t="s">
        <v>83</v>
      </c>
      <c r="M199" s="4">
        <v>46.9</v>
      </c>
      <c r="N199" s="14">
        <v>4647</v>
      </c>
      <c r="O199" s="5">
        <f t="shared" ref="O199:O204" si="57">((((N199)/((M199*H199)/1000))*G199)*(K199/I199))/100000</f>
        <v>101.06481876332622</v>
      </c>
      <c r="P199" s="23" t="s">
        <v>383</v>
      </c>
    </row>
    <row r="200" spans="5:16">
      <c r="E200" s="23" t="s">
        <v>26</v>
      </c>
      <c r="F200" s="23" t="s">
        <v>384</v>
      </c>
      <c r="G200" s="4">
        <v>100</v>
      </c>
      <c r="H200" s="4">
        <v>1</v>
      </c>
      <c r="I200" s="4">
        <v>500</v>
      </c>
      <c r="J200" s="4">
        <v>10</v>
      </c>
      <c r="K200" s="4">
        <f t="shared" si="56"/>
        <v>510</v>
      </c>
      <c r="L200" s="4" t="s">
        <v>83</v>
      </c>
      <c r="M200" s="4">
        <v>46.9</v>
      </c>
      <c r="N200" s="14">
        <v>4461</v>
      </c>
      <c r="O200" s="5">
        <f t="shared" si="57"/>
        <v>97.019616204690834</v>
      </c>
      <c r="P200" s="23" t="s">
        <v>384</v>
      </c>
    </row>
    <row r="201" spans="5:16">
      <c r="E201" s="23" t="s">
        <v>27</v>
      </c>
      <c r="F201" s="23" t="s">
        <v>385</v>
      </c>
      <c r="G201" s="4">
        <v>100</v>
      </c>
      <c r="H201" s="4">
        <v>1</v>
      </c>
      <c r="I201" s="4">
        <v>500</v>
      </c>
      <c r="J201" s="4">
        <v>10</v>
      </c>
      <c r="K201" s="4">
        <f t="shared" si="56"/>
        <v>510</v>
      </c>
      <c r="L201" s="4" t="s">
        <v>83</v>
      </c>
      <c r="M201" s="4">
        <v>46.9</v>
      </c>
      <c r="N201" s="14">
        <v>4567</v>
      </c>
      <c r="O201" s="5">
        <f t="shared" si="57"/>
        <v>99.324946695095946</v>
      </c>
      <c r="P201" s="23" t="s">
        <v>385</v>
      </c>
    </row>
    <row r="202" spans="5:16">
      <c r="E202" s="23" t="s">
        <v>28</v>
      </c>
      <c r="F202" s="23" t="s">
        <v>383</v>
      </c>
      <c r="G202" s="4">
        <v>10</v>
      </c>
      <c r="H202" s="4">
        <v>1</v>
      </c>
      <c r="I202" s="4">
        <v>500</v>
      </c>
      <c r="J202" s="4">
        <v>10</v>
      </c>
      <c r="K202" s="4">
        <f t="shared" si="56"/>
        <v>510</v>
      </c>
      <c r="L202" s="4" t="s">
        <v>83</v>
      </c>
      <c r="M202" s="4">
        <v>46.9</v>
      </c>
      <c r="N202" s="14">
        <v>44608</v>
      </c>
      <c r="O202" s="5">
        <f t="shared" si="57"/>
        <v>97.015266524520271</v>
      </c>
      <c r="P202" s="23" t="s">
        <v>383</v>
      </c>
    </row>
    <row r="203" spans="5:16">
      <c r="E203" s="23" t="s">
        <v>29</v>
      </c>
      <c r="F203" s="23" t="s">
        <v>384</v>
      </c>
      <c r="G203" s="4">
        <v>10</v>
      </c>
      <c r="H203" s="4">
        <v>1</v>
      </c>
      <c r="I203" s="4">
        <v>500</v>
      </c>
      <c r="J203" s="4">
        <v>10</v>
      </c>
      <c r="K203" s="4">
        <f t="shared" si="56"/>
        <v>510</v>
      </c>
      <c r="L203" s="4" t="s">
        <v>83</v>
      </c>
      <c r="M203" s="4">
        <v>46.9</v>
      </c>
      <c r="N203" s="14">
        <v>42133</v>
      </c>
      <c r="O203" s="5">
        <f t="shared" si="57"/>
        <v>91.632537313432849</v>
      </c>
      <c r="P203" s="23" t="s">
        <v>384</v>
      </c>
    </row>
    <row r="204" spans="5:16">
      <c r="E204" s="23" t="s">
        <v>30</v>
      </c>
      <c r="F204" s="23" t="s">
        <v>385</v>
      </c>
      <c r="G204" s="4">
        <v>10</v>
      </c>
      <c r="H204" s="4">
        <v>1</v>
      </c>
      <c r="I204" s="4">
        <v>500</v>
      </c>
      <c r="J204" s="4">
        <v>10</v>
      </c>
      <c r="K204" s="4">
        <f t="shared" si="56"/>
        <v>510</v>
      </c>
      <c r="L204" s="4" t="s">
        <v>83</v>
      </c>
      <c r="M204" s="4">
        <v>46.9</v>
      </c>
      <c r="N204" s="14">
        <v>43065</v>
      </c>
      <c r="O204" s="5">
        <f t="shared" si="57"/>
        <v>93.659488272921124</v>
      </c>
      <c r="P204" s="23" t="s">
        <v>385</v>
      </c>
    </row>
    <row r="205" spans="5:16">
      <c r="G205" s="4"/>
      <c r="H205" s="4"/>
      <c r="I205" s="4"/>
      <c r="J205" s="4"/>
      <c r="K205" s="4"/>
      <c r="L205" s="4"/>
      <c r="M205" s="4"/>
      <c r="N205" s="14"/>
      <c r="O205" s="5"/>
    </row>
    <row r="206" spans="5:16">
      <c r="G206" s="4"/>
      <c r="H206" s="4"/>
      <c r="I206" s="4"/>
      <c r="J206" s="4"/>
      <c r="K206" s="4"/>
      <c r="L206" s="4"/>
      <c r="M206" s="4"/>
      <c r="N206" s="14"/>
      <c r="O206" s="5"/>
    </row>
    <row r="207" spans="5:16">
      <c r="G207" s="4"/>
      <c r="H207" s="4"/>
      <c r="I207" s="4"/>
      <c r="J207" s="4"/>
      <c r="K207" s="4"/>
      <c r="L207" s="4"/>
      <c r="M207" s="4"/>
      <c r="N207" s="14"/>
      <c r="O207" s="5"/>
    </row>
    <row r="208" spans="5:16">
      <c r="G208" s="4"/>
      <c r="H208" s="4"/>
      <c r="I208" s="4"/>
      <c r="J208" s="4"/>
      <c r="K208" s="4"/>
      <c r="L208" s="4"/>
      <c r="M208" s="4"/>
      <c r="N208" s="14"/>
      <c r="O208" s="5"/>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AZ64"/>
  <sheetViews>
    <sheetView workbookViewId="0">
      <selection activeCell="W33" sqref="W33"/>
    </sheetView>
  </sheetViews>
  <sheetFormatPr defaultRowHeight="15"/>
  <sheetData>
    <row r="3" spans="3:17">
      <c r="C3">
        <v>0</v>
      </c>
      <c r="D3">
        <v>33</v>
      </c>
      <c r="E3">
        <v>25.2</v>
      </c>
      <c r="F3">
        <f>AVERAGE(D3:E3)</f>
        <v>29.1</v>
      </c>
      <c r="K3">
        <v>0</v>
      </c>
      <c r="L3">
        <v>6.2</v>
      </c>
      <c r="M3">
        <v>4.7</v>
      </c>
      <c r="N3">
        <f>AVERAGE(L3:M3)</f>
        <v>5.45</v>
      </c>
    </row>
    <row r="4" spans="3:17">
      <c r="C4">
        <v>0.1</v>
      </c>
      <c r="D4">
        <v>54.5</v>
      </c>
      <c r="E4">
        <v>58.2</v>
      </c>
      <c r="F4">
        <f>AVERAGE(D4:E4)</f>
        <v>56.35</v>
      </c>
      <c r="K4">
        <v>0.5</v>
      </c>
      <c r="L4">
        <v>28.9</v>
      </c>
      <c r="M4">
        <v>29</v>
      </c>
      <c r="N4">
        <f>AVERAGE(L4:M4)</f>
        <v>28.95</v>
      </c>
    </row>
    <row r="5" spans="3:17">
      <c r="C5">
        <v>0.25</v>
      </c>
      <c r="D5">
        <v>95.1</v>
      </c>
      <c r="E5">
        <v>92.4</v>
      </c>
      <c r="F5">
        <f>AVERAGE(D5:E5)</f>
        <v>93.75</v>
      </c>
      <c r="K5">
        <v>1</v>
      </c>
      <c r="L5">
        <v>100</v>
      </c>
      <c r="M5">
        <v>93.8</v>
      </c>
      <c r="N5">
        <f>AVERAGE(L5:M5)</f>
        <v>96.9</v>
      </c>
    </row>
    <row r="6" spans="3:17">
      <c r="C6">
        <v>0.5</v>
      </c>
      <c r="D6">
        <v>155</v>
      </c>
      <c r="E6">
        <v>154.9</v>
      </c>
      <c r="F6">
        <f>AVERAGE(D6:E6)</f>
        <v>154.94999999999999</v>
      </c>
      <c r="K6">
        <v>5</v>
      </c>
      <c r="L6">
        <v>420.7</v>
      </c>
      <c r="M6">
        <v>413.5</v>
      </c>
      <c r="N6">
        <f>AVERAGE(L6:M6)</f>
        <v>417.1</v>
      </c>
    </row>
    <row r="7" spans="3:17">
      <c r="C7">
        <v>1</v>
      </c>
      <c r="D7">
        <v>500</v>
      </c>
      <c r="E7">
        <v>535.5</v>
      </c>
      <c r="F7">
        <f>AVERAGE(D7:E7)</f>
        <v>517.75</v>
      </c>
      <c r="H7" t="s">
        <v>20</v>
      </c>
      <c r="I7">
        <v>8.8754000000000008</v>
      </c>
      <c r="P7" t="s">
        <v>20</v>
      </c>
      <c r="Q7">
        <v>1.8455999999999999</v>
      </c>
    </row>
    <row r="8" spans="3:17">
      <c r="H8" t="s">
        <v>21</v>
      </c>
      <c r="I8">
        <v>484.47</v>
      </c>
      <c r="P8" t="s">
        <v>21</v>
      </c>
      <c r="Q8">
        <v>83.233000000000004</v>
      </c>
    </row>
    <row r="11" spans="3:17">
      <c r="C11">
        <v>0</v>
      </c>
      <c r="D11">
        <v>37.9</v>
      </c>
      <c r="E11">
        <v>41</v>
      </c>
      <c r="F11">
        <f>AVERAGE(D11:E11)</f>
        <v>39.450000000000003</v>
      </c>
      <c r="K11">
        <v>0</v>
      </c>
      <c r="L11">
        <v>4.8</v>
      </c>
      <c r="M11">
        <v>5.3</v>
      </c>
      <c r="N11">
        <f>AVERAGE(L11:M11)</f>
        <v>5.05</v>
      </c>
    </row>
    <row r="12" spans="3:17">
      <c r="C12">
        <v>0.1</v>
      </c>
      <c r="D12">
        <v>61.7</v>
      </c>
      <c r="E12">
        <v>66.900000000000006</v>
      </c>
      <c r="F12">
        <f>AVERAGE(D12:E12)</f>
        <v>64.300000000000011</v>
      </c>
      <c r="K12">
        <v>0.5</v>
      </c>
      <c r="L12">
        <v>22.8</v>
      </c>
      <c r="M12">
        <v>23.5</v>
      </c>
      <c r="N12">
        <f>AVERAGE(L12:M12)</f>
        <v>23.15</v>
      </c>
    </row>
    <row r="13" spans="3:17">
      <c r="C13">
        <v>0.25</v>
      </c>
      <c r="D13">
        <v>105.5</v>
      </c>
      <c r="E13">
        <v>101.4</v>
      </c>
      <c r="F13">
        <f>AVERAGE(D13:E13)</f>
        <v>103.45</v>
      </c>
      <c r="K13">
        <v>1</v>
      </c>
      <c r="L13">
        <v>79.5</v>
      </c>
      <c r="M13">
        <v>88.4</v>
      </c>
      <c r="N13">
        <f>AVERAGE(L13:M13)</f>
        <v>83.95</v>
      </c>
    </row>
    <row r="14" spans="3:17">
      <c r="C14">
        <v>0.5</v>
      </c>
      <c r="D14">
        <v>173.3</v>
      </c>
      <c r="E14">
        <v>179.2</v>
      </c>
      <c r="F14">
        <f>AVERAGE(D14:E14)</f>
        <v>176.25</v>
      </c>
      <c r="K14">
        <v>5</v>
      </c>
      <c r="L14">
        <v>323</v>
      </c>
      <c r="M14">
        <v>335.2</v>
      </c>
      <c r="N14">
        <f>AVERAGE(L14:M14)</f>
        <v>329.1</v>
      </c>
    </row>
    <row r="15" spans="3:17">
      <c r="H15" t="s">
        <v>20</v>
      </c>
      <c r="I15">
        <v>37.546999999999997</v>
      </c>
      <c r="K15">
        <v>10</v>
      </c>
      <c r="L15">
        <v>599.70000000000005</v>
      </c>
      <c r="M15">
        <v>600</v>
      </c>
      <c r="N15">
        <f>AVERAGE(L15:M15)</f>
        <v>599.85</v>
      </c>
      <c r="P15" t="s">
        <v>20</v>
      </c>
      <c r="Q15">
        <v>10.409000000000001</v>
      </c>
    </row>
    <row r="16" spans="3:17">
      <c r="H16" t="s">
        <v>21</v>
      </c>
      <c r="I16">
        <v>274.43</v>
      </c>
      <c r="P16" t="s">
        <v>21</v>
      </c>
      <c r="Q16">
        <v>59.942999999999998</v>
      </c>
    </row>
    <row r="18" spans="1:52">
      <c r="C18" t="s">
        <v>12</v>
      </c>
      <c r="D18" t="s">
        <v>13</v>
      </c>
      <c r="E18" t="s">
        <v>14</v>
      </c>
      <c r="I18" t="s">
        <v>0</v>
      </c>
      <c r="J18" t="s">
        <v>11</v>
      </c>
    </row>
    <row r="19" spans="1:52">
      <c r="A19" t="s">
        <v>15</v>
      </c>
      <c r="B19">
        <v>1</v>
      </c>
      <c r="C19">
        <v>482.9</v>
      </c>
      <c r="D19">
        <v>408.8</v>
      </c>
      <c r="E19">
        <v>420</v>
      </c>
      <c r="F19">
        <f t="shared" ref="F19:H24" si="0">(C19-$I$7)/$I$8</f>
        <v>0.97843953185955779</v>
      </c>
      <c r="G19">
        <f t="shared" si="0"/>
        <v>0.82548888476066629</v>
      </c>
      <c r="H19">
        <f t="shared" si="0"/>
        <v>0.84860693128573483</v>
      </c>
      <c r="I19">
        <f>AVERAGE(F19:H19)</f>
        <v>0.8841784493019863</v>
      </c>
      <c r="J19">
        <f>STDEV(F19:H19)</f>
        <v>8.244679971034527E-2</v>
      </c>
      <c r="AO19" t="s">
        <v>275</v>
      </c>
      <c r="AP19" t="s">
        <v>421</v>
      </c>
      <c r="AQ19" t="s">
        <v>422</v>
      </c>
      <c r="AR19" t="s">
        <v>423</v>
      </c>
      <c r="AT19" t="s">
        <v>424</v>
      </c>
    </row>
    <row r="20" spans="1:52">
      <c r="B20">
        <v>2</v>
      </c>
      <c r="C20">
        <v>123.9</v>
      </c>
      <c r="D20">
        <v>128.30000000000001</v>
      </c>
      <c r="E20">
        <v>131.19999999999999</v>
      </c>
      <c r="F20">
        <f t="shared" si="0"/>
        <v>0.23742357627923297</v>
      </c>
      <c r="G20">
        <f t="shared" si="0"/>
        <v>0.24650566598550994</v>
      </c>
      <c r="H20">
        <f t="shared" si="0"/>
        <v>0.25249158874646516</v>
      </c>
      <c r="I20">
        <f t="shared" ref="I20:I48" si="1">AVERAGE(F20:H20)</f>
        <v>0.24547361033706935</v>
      </c>
      <c r="J20">
        <f t="shared" ref="J20:J48" si="2">STDEV(F20:H20)</f>
        <v>7.5868375542300064E-3</v>
      </c>
      <c r="AO20" t="str">
        <f>O28</f>
        <v>Syn+Bac+lysate</v>
      </c>
      <c r="AP20">
        <f>F19</f>
        <v>0.97843953185955779</v>
      </c>
      <c r="AQ20">
        <f t="shared" ref="AQ20:AR25" si="3">G19</f>
        <v>0.82548888476066629</v>
      </c>
      <c r="AR20">
        <f t="shared" si="3"/>
        <v>0.84860693128573483</v>
      </c>
    </row>
    <row r="21" spans="1:52" ht="15.75" thickBot="1">
      <c r="B21">
        <v>3</v>
      </c>
      <c r="C21">
        <v>490.1</v>
      </c>
      <c r="D21">
        <v>489.2</v>
      </c>
      <c r="E21">
        <v>520.29999999999995</v>
      </c>
      <c r="F21">
        <f t="shared" si="0"/>
        <v>0.993301133197102</v>
      </c>
      <c r="G21">
        <f t="shared" si="0"/>
        <v>0.99144343302990889</v>
      </c>
      <c r="H21">
        <f t="shared" si="0"/>
        <v>1.0556372943629118</v>
      </c>
      <c r="I21">
        <f t="shared" si="1"/>
        <v>1.013460620196641</v>
      </c>
      <c r="J21">
        <f t="shared" si="2"/>
        <v>3.6537879594656736E-2</v>
      </c>
      <c r="L21" t="s">
        <v>15</v>
      </c>
      <c r="M21" t="s">
        <v>516</v>
      </c>
      <c r="N21" t="s">
        <v>270</v>
      </c>
      <c r="AO21" t="str">
        <f t="shared" ref="AO21:AO25" si="4">O29</f>
        <v>Syn+Bac</v>
      </c>
      <c r="AP21">
        <f t="shared" ref="AP21:AP25" si="5">F20</f>
        <v>0.23742357627923297</v>
      </c>
      <c r="AQ21">
        <f t="shared" si="3"/>
        <v>0.24650566598550994</v>
      </c>
      <c r="AR21">
        <f t="shared" si="3"/>
        <v>0.25249158874646516</v>
      </c>
      <c r="AT21" t="s">
        <v>404</v>
      </c>
    </row>
    <row r="22" spans="1:52">
      <c r="B22">
        <v>4</v>
      </c>
      <c r="C22">
        <v>215.4</v>
      </c>
      <c r="D22">
        <v>219.4</v>
      </c>
      <c r="E22">
        <v>201</v>
      </c>
      <c r="F22">
        <f t="shared" si="0"/>
        <v>0.42628975994385615</v>
      </c>
      <c r="G22">
        <f t="shared" si="0"/>
        <v>0.43454620513138065</v>
      </c>
      <c r="H22">
        <f t="shared" si="0"/>
        <v>0.39656655726876788</v>
      </c>
      <c r="I22">
        <f t="shared" si="1"/>
        <v>0.4191341741146683</v>
      </c>
      <c r="J22">
        <f t="shared" si="2"/>
        <v>1.9975365312333411E-2</v>
      </c>
      <c r="K22" t="s">
        <v>1</v>
      </c>
      <c r="L22">
        <f>F19</f>
        <v>0.97843953185955779</v>
      </c>
      <c r="M22">
        <f>F49</f>
        <v>0.15097652042794571</v>
      </c>
      <c r="N22">
        <f>F49-F19</f>
        <v>-0.82746301143161205</v>
      </c>
      <c r="AO22" t="str">
        <f t="shared" si="4"/>
        <v>Syn+lysate</v>
      </c>
      <c r="AP22">
        <f t="shared" si="5"/>
        <v>0.993301133197102</v>
      </c>
      <c r="AQ22">
        <f t="shared" si="3"/>
        <v>0.99144343302990889</v>
      </c>
      <c r="AR22">
        <f t="shared" si="3"/>
        <v>1.0556372943629118</v>
      </c>
      <c r="AT22" s="17" t="s">
        <v>405</v>
      </c>
      <c r="AU22" s="17" t="s">
        <v>406</v>
      </c>
      <c r="AV22" s="17" t="s">
        <v>407</v>
      </c>
      <c r="AW22" s="17" t="s">
        <v>0</v>
      </c>
      <c r="AX22" s="17" t="s">
        <v>408</v>
      </c>
    </row>
    <row r="23" spans="1:52">
      <c r="B23">
        <v>5</v>
      </c>
      <c r="C23">
        <v>338.3</v>
      </c>
      <c r="D23">
        <v>156.1</v>
      </c>
      <c r="E23">
        <v>191.9</v>
      </c>
      <c r="F23">
        <f t="shared" si="0"/>
        <v>0.67996903833054678</v>
      </c>
      <c r="G23">
        <f t="shared" si="0"/>
        <v>0.30388796003880525</v>
      </c>
      <c r="H23">
        <f t="shared" si="0"/>
        <v>0.37778314446714961</v>
      </c>
      <c r="I23">
        <f t="shared" si="1"/>
        <v>0.45388004761216721</v>
      </c>
      <c r="J23">
        <f t="shared" si="2"/>
        <v>0.19925435594602778</v>
      </c>
      <c r="K23" t="s">
        <v>2</v>
      </c>
      <c r="L23">
        <f>G19</f>
        <v>0.82548888476066629</v>
      </c>
      <c r="M23">
        <f>G49</f>
        <v>0.17646657571623464</v>
      </c>
      <c r="N23">
        <f>G49-G19</f>
        <v>-0.64902230904443159</v>
      </c>
      <c r="AO23" t="str">
        <f t="shared" si="4"/>
        <v>Syn</v>
      </c>
      <c r="AP23">
        <f t="shared" si="5"/>
        <v>0.42628975994385615</v>
      </c>
      <c r="AQ23">
        <f t="shared" si="3"/>
        <v>0.43454620513138065</v>
      </c>
      <c r="AR23">
        <f t="shared" si="3"/>
        <v>0.39656655726876788</v>
      </c>
      <c r="AT23" s="15" t="s">
        <v>91</v>
      </c>
      <c r="AU23" s="15">
        <v>3</v>
      </c>
      <c r="AV23" s="15">
        <v>2.652535347905959</v>
      </c>
      <c r="AW23" s="15">
        <v>0.8841784493019863</v>
      </c>
      <c r="AX23" s="15">
        <v>6.7974747824777887E-3</v>
      </c>
    </row>
    <row r="24" spans="1:52">
      <c r="B24">
        <v>6</v>
      </c>
      <c r="C24">
        <v>421</v>
      </c>
      <c r="D24">
        <v>407.9</v>
      </c>
      <c r="E24">
        <v>459.4</v>
      </c>
      <c r="F24">
        <f t="shared" si="0"/>
        <v>0.85067104258261594</v>
      </c>
      <c r="G24">
        <f t="shared" si="0"/>
        <v>0.82363118459347318</v>
      </c>
      <c r="H24">
        <f t="shared" si="0"/>
        <v>0.92993291638285125</v>
      </c>
      <c r="I24">
        <f t="shared" si="1"/>
        <v>0.86807838118631342</v>
      </c>
      <c r="J24">
        <f t="shared" si="2"/>
        <v>5.524740829489698E-2</v>
      </c>
      <c r="K24" t="s">
        <v>3</v>
      </c>
      <c r="L24">
        <f>H19</f>
        <v>0.84860693128573483</v>
      </c>
      <c r="M24">
        <f>H49</f>
        <v>0.1075357219788899</v>
      </c>
      <c r="N24">
        <f>H49-H19</f>
        <v>-0.74107120930684489</v>
      </c>
      <c r="AO24" t="str">
        <f t="shared" si="4"/>
        <v>Bac</v>
      </c>
      <c r="AP24">
        <f t="shared" si="5"/>
        <v>0.67996903833054678</v>
      </c>
      <c r="AQ24">
        <f t="shared" si="3"/>
        <v>0.30388796003880525</v>
      </c>
      <c r="AR24">
        <f t="shared" si="3"/>
        <v>0.37778314446714961</v>
      </c>
      <c r="AT24" s="15" t="s">
        <v>90</v>
      </c>
      <c r="AU24" s="15">
        <v>3</v>
      </c>
      <c r="AV24" s="15">
        <v>0.73642083101120803</v>
      </c>
      <c r="AW24" s="15">
        <v>0.24547361033706935</v>
      </c>
      <c r="AX24" s="15">
        <v>5.7560104074274749E-5</v>
      </c>
    </row>
    <row r="25" spans="1:52">
      <c r="A25" t="s">
        <v>16</v>
      </c>
      <c r="B25">
        <v>1</v>
      </c>
      <c r="C25">
        <v>166</v>
      </c>
      <c r="D25">
        <v>153.9</v>
      </c>
      <c r="E25">
        <v>164.5</v>
      </c>
      <c r="F25">
        <f>(C25-$Q$15)/$Q$16</f>
        <v>2.5956492000734035</v>
      </c>
      <c r="G25">
        <f>(D25-$Q$15)/$Q$16</f>
        <v>2.3937907678961685</v>
      </c>
      <c r="H25">
        <f>(E25-$Q$15)/$Q$16</f>
        <v>2.5706254274894484</v>
      </c>
      <c r="I25">
        <f t="shared" si="1"/>
        <v>2.52002179848634</v>
      </c>
      <c r="J25">
        <f t="shared" si="2"/>
        <v>0.11003295920530362</v>
      </c>
      <c r="K25" t="s">
        <v>6</v>
      </c>
      <c r="L25">
        <f>F20</f>
        <v>0.23742357627923297</v>
      </c>
      <c r="M25">
        <f>F50</f>
        <v>0.25257772671788614</v>
      </c>
      <c r="N25">
        <f>F50-F20</f>
        <v>1.5154150438653174E-2</v>
      </c>
      <c r="P25" t="s">
        <v>0</v>
      </c>
      <c r="AO25" t="str">
        <f t="shared" si="4"/>
        <v>Bac+lysate</v>
      </c>
      <c r="AP25">
        <f t="shared" si="5"/>
        <v>0.85067104258261594</v>
      </c>
      <c r="AQ25">
        <f t="shared" si="3"/>
        <v>0.82363118459347318</v>
      </c>
      <c r="AR25">
        <f t="shared" si="3"/>
        <v>0.92993291638285125</v>
      </c>
      <c r="AT25" s="15" t="s">
        <v>92</v>
      </c>
      <c r="AU25" s="15">
        <v>3</v>
      </c>
      <c r="AV25" s="15">
        <v>3.0403818605899229</v>
      </c>
      <c r="AW25" s="15">
        <v>1.013460620196641</v>
      </c>
      <c r="AX25" s="15">
        <v>1.335016645273633E-3</v>
      </c>
    </row>
    <row r="26" spans="1:52">
      <c r="B26">
        <v>2</v>
      </c>
      <c r="C26">
        <v>45.1</v>
      </c>
      <c r="D26">
        <v>33.5</v>
      </c>
      <c r="E26">
        <v>30.2</v>
      </c>
      <c r="F26">
        <f>(C26-$I$15)/$I$16</f>
        <v>2.7522501184272873E-2</v>
      </c>
      <c r="G26">
        <f>(D26-$I$15)/$I$16</f>
        <v>-1.4746930000364381E-2</v>
      </c>
      <c r="H26">
        <f>(E26-$I$15)/$I$16</f>
        <v>-2.6771854389097394E-2</v>
      </c>
      <c r="I26">
        <f t="shared" si="1"/>
        <v>-4.6654277350629677E-3</v>
      </c>
      <c r="J26">
        <f t="shared" si="2"/>
        <v>2.8516605298068858E-2</v>
      </c>
      <c r="K26" t="s">
        <v>10</v>
      </c>
      <c r="L26">
        <f>G20</f>
        <v>0.24650566598550994</v>
      </c>
      <c r="M26">
        <f>G50</f>
        <v>8.3840741006677683E-2</v>
      </c>
      <c r="N26">
        <f>G50-G20</f>
        <v>-0.16266492497883225</v>
      </c>
      <c r="X26" t="s">
        <v>11</v>
      </c>
      <c r="AT26" s="15" t="s">
        <v>93</v>
      </c>
      <c r="AU26" s="15">
        <v>3</v>
      </c>
      <c r="AV26" s="15">
        <v>1.2574025223440048</v>
      </c>
      <c r="AW26" s="15">
        <v>0.4191341741146683</v>
      </c>
      <c r="AX26" s="15">
        <v>3.9901521936117285E-4</v>
      </c>
    </row>
    <row r="27" spans="1:52">
      <c r="B27">
        <v>3</v>
      </c>
      <c r="C27">
        <v>183.7</v>
      </c>
      <c r="D27">
        <v>182.2</v>
      </c>
      <c r="E27">
        <v>196.9</v>
      </c>
      <c r="F27">
        <f>(C27-$Q$15)/$Q$16</f>
        <v>2.8909297165640693</v>
      </c>
      <c r="G27">
        <f>(D27-$Q$15)/$Q$16</f>
        <v>2.8659059439801147</v>
      </c>
      <c r="H27">
        <f>(E27-$Q$15)/$Q$16</f>
        <v>3.1111389153028712</v>
      </c>
      <c r="I27">
        <f t="shared" si="1"/>
        <v>2.9559915252823514</v>
      </c>
      <c r="J27">
        <f t="shared" si="2"/>
        <v>0.13494288336632565</v>
      </c>
      <c r="K27" t="s">
        <v>23</v>
      </c>
      <c r="L27">
        <f>H20</f>
        <v>0.25249158874646516</v>
      </c>
      <c r="M27">
        <f>H50</f>
        <v>6.0504774897680767E-2</v>
      </c>
      <c r="N27">
        <f>H50-H20</f>
        <v>-0.19198681384878438</v>
      </c>
      <c r="O27" t="s">
        <v>129</v>
      </c>
      <c r="P27">
        <v>0</v>
      </c>
      <c r="Q27">
        <v>1</v>
      </c>
      <c r="R27">
        <v>2</v>
      </c>
      <c r="S27">
        <v>3</v>
      </c>
      <c r="T27">
        <v>4</v>
      </c>
      <c r="U27">
        <v>5</v>
      </c>
      <c r="V27" t="s">
        <v>270</v>
      </c>
      <c r="X27">
        <f>P27</f>
        <v>0</v>
      </c>
      <c r="Y27">
        <f>Q27</f>
        <v>1</v>
      </c>
      <c r="Z27">
        <f>R27</f>
        <v>2</v>
      </c>
      <c r="AA27">
        <f>S27</f>
        <v>3</v>
      </c>
      <c r="AB27">
        <v>4</v>
      </c>
      <c r="AC27">
        <v>5</v>
      </c>
      <c r="AT27" s="15" t="s">
        <v>94</v>
      </c>
      <c r="AU27" s="15">
        <v>3</v>
      </c>
      <c r="AV27" s="15">
        <v>1.3616401428365017</v>
      </c>
      <c r="AW27" s="15">
        <v>0.45388004761216721</v>
      </c>
      <c r="AX27" s="15">
        <v>3.9702298363466337E-2</v>
      </c>
    </row>
    <row r="28" spans="1:52" ht="15.75" thickBot="1">
      <c r="B28">
        <v>4</v>
      </c>
      <c r="C28">
        <v>59.4</v>
      </c>
      <c r="D28">
        <v>29.5</v>
      </c>
      <c r="E28">
        <v>30.5</v>
      </c>
      <c r="F28">
        <f t="shared" ref="F28:H29" si="6">(C28-$I$15)/$I$16</f>
        <v>7.9630506868782577E-2</v>
      </c>
      <c r="G28">
        <f t="shared" si="6"/>
        <v>-2.9322595926101362E-2</v>
      </c>
      <c r="H28">
        <f t="shared" si="6"/>
        <v>-2.5678679444667118E-2</v>
      </c>
      <c r="I28">
        <f t="shared" si="1"/>
        <v>8.2097438326713661E-3</v>
      </c>
      <c r="J28">
        <f t="shared" si="2"/>
        <v>6.1879023718269657E-2</v>
      </c>
      <c r="K28" t="s">
        <v>7</v>
      </c>
      <c r="L28">
        <f>F21</f>
        <v>0.993301133197102</v>
      </c>
      <c r="M28">
        <f>F51</f>
        <v>0.15636174337617578</v>
      </c>
      <c r="N28">
        <f>F51-F21</f>
        <v>-0.83693938982092619</v>
      </c>
      <c r="O28" t="s">
        <v>517</v>
      </c>
      <c r="P28">
        <f>I19</f>
        <v>0.8841784493019863</v>
      </c>
      <c r="Q28">
        <f>I25</f>
        <v>2.52002179848634</v>
      </c>
      <c r="R28">
        <f>I31</f>
        <v>0.31689186120915641</v>
      </c>
      <c r="S28">
        <f>I37</f>
        <v>8.3638814998360234E-2</v>
      </c>
      <c r="T28">
        <f>I43</f>
        <v>0.14906177449079724</v>
      </c>
      <c r="U28">
        <f>I49</f>
        <v>0.14499293937435673</v>
      </c>
      <c r="V28">
        <f t="shared" ref="V28:V32" si="7">U28-P28</f>
        <v>-0.73918550992762955</v>
      </c>
      <c r="X28">
        <f t="shared" ref="X28:X33" si="8">J19/(SQRT(3))</f>
        <v>4.7600682006591004E-2</v>
      </c>
      <c r="Y28">
        <f t="shared" ref="Y28:Y33" si="9">J25/(SQRT(3))</f>
        <v>6.3527558616913157E-2</v>
      </c>
      <c r="Z28">
        <f t="shared" ref="Z28:Z33" si="10">J31/(SQRT(3))</f>
        <v>0.18932221902484059</v>
      </c>
      <c r="AA28">
        <f t="shared" ref="AA28:AA33" si="11">J37/(SQRT(3))</f>
        <v>7.7556377414251063E-3</v>
      </c>
      <c r="AB28">
        <f t="shared" ref="AB28:AB33" si="12">J43/(SQRT(3))</f>
        <v>1.3473557784674916E-2</v>
      </c>
      <c r="AC28">
        <f t="shared" ref="AC28:AC33" si="13">J49/(SQRT(3))</f>
        <v>2.0122276883332263E-2</v>
      </c>
      <c r="AO28" t="s">
        <v>429</v>
      </c>
      <c r="AP28" t="s">
        <v>421</v>
      </c>
      <c r="AQ28" t="s">
        <v>422</v>
      </c>
      <c r="AR28" t="s">
        <v>423</v>
      </c>
      <c r="AT28" s="16" t="s">
        <v>95</v>
      </c>
      <c r="AU28" s="16">
        <v>3</v>
      </c>
      <c r="AV28" s="16">
        <v>2.6042351435589404</v>
      </c>
      <c r="AW28" s="16">
        <v>0.86807838118631342</v>
      </c>
      <c r="AX28" s="16">
        <v>3.0522761233030514E-3</v>
      </c>
    </row>
    <row r="29" spans="1:52">
      <c r="B29">
        <v>5</v>
      </c>
      <c r="C29">
        <v>164.3</v>
      </c>
      <c r="D29">
        <v>33</v>
      </c>
      <c r="E29">
        <v>32.5</v>
      </c>
      <c r="F29">
        <f t="shared" si="6"/>
        <v>0.46187734577123496</v>
      </c>
      <c r="G29">
        <f t="shared" si="6"/>
        <v>-1.6568888241081502E-2</v>
      </c>
      <c r="H29">
        <f t="shared" si="6"/>
        <v>-1.8390846481798628E-2</v>
      </c>
      <c r="I29">
        <f t="shared" si="1"/>
        <v>0.14230587034945161</v>
      </c>
      <c r="J29">
        <f t="shared" si="2"/>
        <v>0.27675851533493839</v>
      </c>
      <c r="K29" t="s">
        <v>9</v>
      </c>
      <c r="L29">
        <f>G21</f>
        <v>0.99144343302990889</v>
      </c>
      <c r="M29">
        <f>G51</f>
        <v>0.11399798951676601</v>
      </c>
      <c r="N29">
        <f>G51-G21</f>
        <v>-0.87744544351314291</v>
      </c>
      <c r="O29" t="s">
        <v>521</v>
      </c>
      <c r="P29">
        <f t="shared" ref="P29:P33" si="14">I20</f>
        <v>0.24547361033706935</v>
      </c>
      <c r="Q29">
        <f t="shared" ref="Q29:Q33" si="15">I26</f>
        <v>-4.6654277350629677E-3</v>
      </c>
      <c r="R29">
        <f t="shared" ref="R29:R33" si="16">I32</f>
        <v>4.6837299867208838E-2</v>
      </c>
      <c r="S29">
        <f t="shared" ref="S29:S33" si="17">I38</f>
        <v>0.11764870215841321</v>
      </c>
      <c r="T29">
        <f t="shared" ref="T29:T33" si="18">I44</f>
        <v>9.9517723367080715E-2</v>
      </c>
      <c r="U29">
        <f t="shared" ref="U29:U33" si="19">I50</f>
        <v>0.1323077475407482</v>
      </c>
      <c r="V29">
        <f t="shared" si="7"/>
        <v>-0.11316586279632115</v>
      </c>
      <c r="X29">
        <f t="shared" si="8"/>
        <v>4.3802627042326568E-3</v>
      </c>
      <c r="Y29">
        <f t="shared" si="9"/>
        <v>1.6464069745214364E-2</v>
      </c>
      <c r="Z29">
        <f t="shared" si="10"/>
        <v>1.077585596150449E-2</v>
      </c>
      <c r="AA29">
        <f t="shared" si="11"/>
        <v>3.7724851756177305E-2</v>
      </c>
      <c r="AB29">
        <f t="shared" si="12"/>
        <v>1.0892089948046026E-2</v>
      </c>
      <c r="AC29">
        <f t="shared" si="13"/>
        <v>6.0511136019226405E-2</v>
      </c>
      <c r="AO29" t="str">
        <f>O28</f>
        <v>Syn+Bac+lysate</v>
      </c>
      <c r="AP29">
        <f>F49</f>
        <v>0.15097652042794571</v>
      </c>
      <c r="AQ29">
        <f t="shared" ref="AQ29:AR34" si="20">G49</f>
        <v>0.17646657571623464</v>
      </c>
      <c r="AR29">
        <f t="shared" si="20"/>
        <v>0.1075357219788899</v>
      </c>
    </row>
    <row r="30" spans="1:52">
      <c r="B30">
        <v>6</v>
      </c>
      <c r="C30">
        <v>106.8</v>
      </c>
      <c r="D30">
        <v>97.1</v>
      </c>
      <c r="E30">
        <v>115.6</v>
      </c>
      <c r="F30">
        <f>(C30-$Q$15)/$Q$16</f>
        <v>1.6080443087599885</v>
      </c>
      <c r="G30">
        <f>(D30-$Q$15)/$Q$16</f>
        <v>1.4462239127170811</v>
      </c>
      <c r="H30">
        <f>(E30-$Q$15)/$Q$16</f>
        <v>1.7548504412525232</v>
      </c>
      <c r="I30">
        <f t="shared" si="1"/>
        <v>1.6030395542431977</v>
      </c>
      <c r="J30">
        <f t="shared" si="2"/>
        <v>0.15437412090369787</v>
      </c>
      <c r="K30" t="s">
        <v>24</v>
      </c>
      <c r="L30">
        <f>H21</f>
        <v>1.0556372943629118</v>
      </c>
      <c r="M30">
        <f>H51</f>
        <v>0.10466360307316722</v>
      </c>
      <c r="N30">
        <f>H51-H21</f>
        <v>-0.95097369128974452</v>
      </c>
      <c r="O30" t="s">
        <v>518</v>
      </c>
      <c r="P30">
        <f t="shared" si="14"/>
        <v>1.013460620196641</v>
      </c>
      <c r="Q30">
        <f t="shared" si="15"/>
        <v>2.9559915252823514</v>
      </c>
      <c r="R30">
        <f t="shared" si="16"/>
        <v>0.41154830415820642</v>
      </c>
      <c r="S30">
        <f t="shared" si="17"/>
        <v>1.9011004899098587</v>
      </c>
      <c r="T30">
        <f t="shared" si="18"/>
        <v>0.14355687992149543</v>
      </c>
      <c r="U30">
        <f t="shared" si="19"/>
        <v>0.12500777865536969</v>
      </c>
      <c r="V30">
        <f t="shared" si="7"/>
        <v>-0.88845284154127124</v>
      </c>
      <c r="X30">
        <f t="shared" si="8"/>
        <v>2.1095154619593201E-2</v>
      </c>
      <c r="Y30">
        <f t="shared" si="9"/>
        <v>7.7909310036772386E-2</v>
      </c>
      <c r="Z30">
        <f t="shared" si="10"/>
        <v>0.13945235777594603</v>
      </c>
      <c r="AA30">
        <f t="shared" si="11"/>
        <v>0.20316703852816373</v>
      </c>
      <c r="AB30">
        <f t="shared" si="12"/>
        <v>8.7752842334164645E-3</v>
      </c>
      <c r="AC30">
        <f t="shared" si="13"/>
        <v>1.5906875037278407E-2</v>
      </c>
      <c r="AO30" t="str">
        <f t="shared" ref="AO30:AO34" si="21">O29</f>
        <v>Syn+Bac</v>
      </c>
      <c r="AP30">
        <f t="shared" ref="AP30:AP34" si="22">F50</f>
        <v>0.25257772671788614</v>
      </c>
      <c r="AQ30">
        <f t="shared" si="20"/>
        <v>8.3840741006677683E-2</v>
      </c>
      <c r="AR30">
        <f t="shared" si="20"/>
        <v>6.0504774897680767E-2</v>
      </c>
    </row>
    <row r="31" spans="1:52" ht="15.75" thickBot="1">
      <c r="A31" t="s">
        <v>17</v>
      </c>
      <c r="B31">
        <v>1</v>
      </c>
      <c r="C31">
        <v>110.6</v>
      </c>
      <c r="D31">
        <v>340.7</v>
      </c>
      <c r="E31">
        <v>35.9</v>
      </c>
      <c r="F31">
        <f t="shared" ref="F31:H32" si="23">(C31-$I$7)/$I$8</f>
        <v>0.20997089603071395</v>
      </c>
      <c r="G31">
        <f t="shared" si="23"/>
        <v>0.68492290544306145</v>
      </c>
      <c r="H31">
        <f t="shared" si="23"/>
        <v>5.5781782153693726E-2</v>
      </c>
      <c r="I31">
        <f t="shared" si="1"/>
        <v>0.31689186120915641</v>
      </c>
      <c r="J31">
        <f t="shared" si="2"/>
        <v>0.32791570235270701</v>
      </c>
      <c r="K31" t="s">
        <v>4</v>
      </c>
      <c r="L31">
        <f>F22</f>
        <v>0.42628975994385615</v>
      </c>
      <c r="M31">
        <f>F52</f>
        <v>0.14954046097508436</v>
      </c>
      <c r="N31">
        <f>F52-F22</f>
        <v>-0.27674929896877176</v>
      </c>
      <c r="O31" t="s">
        <v>519</v>
      </c>
      <c r="P31">
        <f t="shared" si="14"/>
        <v>0.4191341741146683</v>
      </c>
      <c r="Q31">
        <f t="shared" si="15"/>
        <v>8.2097438326713661E-3</v>
      </c>
      <c r="R31">
        <f t="shared" si="16"/>
        <v>5.0139877942218643E-2</v>
      </c>
      <c r="S31">
        <f t="shared" si="17"/>
        <v>0.10647402494868152</v>
      </c>
      <c r="T31">
        <f t="shared" si="18"/>
        <v>0.2135647782484861</v>
      </c>
      <c r="U31">
        <f t="shared" si="19"/>
        <v>0.10921112467389484</v>
      </c>
      <c r="V31">
        <f t="shared" si="7"/>
        <v>-0.30992304944077348</v>
      </c>
      <c r="X31">
        <f t="shared" si="8"/>
        <v>1.1532782540236809E-2</v>
      </c>
      <c r="Y31">
        <f t="shared" si="9"/>
        <v>3.5725871000934224E-2</v>
      </c>
      <c r="Z31">
        <f t="shared" si="10"/>
        <v>9.3550276755087029E-3</v>
      </c>
      <c r="AA31">
        <f t="shared" si="11"/>
        <v>3.0876921726658152E-2</v>
      </c>
      <c r="AB31">
        <f t="shared" si="12"/>
        <v>4.2142765333045798E-2</v>
      </c>
      <c r="AC31">
        <f t="shared" si="13"/>
        <v>2.0171325339211042E-2</v>
      </c>
      <c r="AO31" t="str">
        <f t="shared" si="21"/>
        <v>Syn+lysate</v>
      </c>
      <c r="AP31">
        <f t="shared" si="22"/>
        <v>0.15636174337617578</v>
      </c>
      <c r="AQ31">
        <f t="shared" si="20"/>
        <v>0.11399798951676601</v>
      </c>
      <c r="AR31">
        <f t="shared" si="20"/>
        <v>0.10466360307316722</v>
      </c>
      <c r="AT31" t="s">
        <v>409</v>
      </c>
    </row>
    <row r="32" spans="1:52">
      <c r="B32">
        <v>2</v>
      </c>
      <c r="C32">
        <v>42</v>
      </c>
      <c r="D32">
        <v>26</v>
      </c>
      <c r="E32">
        <v>26.7</v>
      </c>
      <c r="F32">
        <f t="shared" si="23"/>
        <v>6.8372861064668611E-2</v>
      </c>
      <c r="G32">
        <f t="shared" si="23"/>
        <v>3.534708031457056E-2</v>
      </c>
      <c r="H32">
        <f t="shared" si="23"/>
        <v>3.6791958222387344E-2</v>
      </c>
      <c r="I32">
        <f t="shared" si="1"/>
        <v>4.6837299867208838E-2</v>
      </c>
      <c r="J32">
        <f t="shared" si="2"/>
        <v>1.8664330020369751E-2</v>
      </c>
      <c r="K32" t="s">
        <v>5</v>
      </c>
      <c r="L32">
        <f>G22</f>
        <v>0.43454620513138065</v>
      </c>
      <c r="M32">
        <f>G52</f>
        <v>8.814891936526173E-2</v>
      </c>
      <c r="N32">
        <f>G52-G22</f>
        <v>-0.34639728576611895</v>
      </c>
      <c r="O32" t="s">
        <v>94</v>
      </c>
      <c r="P32">
        <f t="shared" si="14"/>
        <v>0.45388004761216721</v>
      </c>
      <c r="Q32">
        <f t="shared" si="15"/>
        <v>0.14230587034945161</v>
      </c>
      <c r="R32">
        <f t="shared" si="16"/>
        <v>0.53967827385252598</v>
      </c>
      <c r="S32">
        <f t="shared" si="17"/>
        <v>0.12918777101628831</v>
      </c>
      <c r="T32">
        <f t="shared" si="18"/>
        <v>0.12022091381249851</v>
      </c>
      <c r="U32">
        <f t="shared" si="19"/>
        <v>0.16928627845192792</v>
      </c>
      <c r="V32">
        <f t="shared" si="7"/>
        <v>-0.28459376916023926</v>
      </c>
      <c r="X32">
        <f t="shared" si="8"/>
        <v>0.11503955604264465</v>
      </c>
      <c r="Y32">
        <f t="shared" si="9"/>
        <v>0.15978660332914785</v>
      </c>
      <c r="Z32">
        <f t="shared" si="10"/>
        <v>1.070047011274013E-2</v>
      </c>
      <c r="AA32">
        <f t="shared" si="11"/>
        <v>1.7365087719919573E-2</v>
      </c>
      <c r="AB32">
        <f t="shared" si="12"/>
        <v>1.608415080195439E-2</v>
      </c>
      <c r="AC32">
        <f t="shared" si="13"/>
        <v>2.5939496752643409E-2</v>
      </c>
      <c r="AO32" t="str">
        <f t="shared" si="21"/>
        <v>Syn</v>
      </c>
      <c r="AP32">
        <f t="shared" si="22"/>
        <v>0.14954046097508436</v>
      </c>
      <c r="AQ32">
        <f t="shared" si="20"/>
        <v>8.814891936526173E-2</v>
      </c>
      <c r="AR32">
        <f t="shared" si="20"/>
        <v>8.9943993681338416E-2</v>
      </c>
      <c r="AT32" s="17" t="s">
        <v>410</v>
      </c>
      <c r="AU32" s="17" t="s">
        <v>411</v>
      </c>
      <c r="AV32" s="17" t="s">
        <v>412</v>
      </c>
      <c r="AW32" s="17" t="s">
        <v>413</v>
      </c>
      <c r="AX32" s="17" t="s">
        <v>372</v>
      </c>
      <c r="AY32" s="17" t="s">
        <v>414</v>
      </c>
      <c r="AZ32" s="17" t="s">
        <v>415</v>
      </c>
    </row>
    <row r="33" spans="1:52">
      <c r="B33">
        <v>3</v>
      </c>
      <c r="C33">
        <v>59.3</v>
      </c>
      <c r="D33">
        <v>25.2</v>
      </c>
      <c r="E33">
        <v>23.8</v>
      </c>
      <c r="F33">
        <f>(C33-$Q$7)/$Q$8</f>
        <v>0.69028390181778854</v>
      </c>
      <c r="G33">
        <f t="shared" ref="G33:H33" si="24">(D33-$Q$7)/$Q$8</f>
        <v>0.28059063111986826</v>
      </c>
      <c r="H33">
        <f t="shared" si="24"/>
        <v>0.26377037953696247</v>
      </c>
      <c r="I33">
        <f t="shared" si="1"/>
        <v>0.41154830415820642</v>
      </c>
      <c r="J33">
        <f t="shared" si="2"/>
        <v>0.24153856890321132</v>
      </c>
      <c r="K33" t="s">
        <v>22</v>
      </c>
      <c r="L33">
        <f>H22</f>
        <v>0.39656655726876788</v>
      </c>
      <c r="M33">
        <f>H52</f>
        <v>8.9943993681338416E-2</v>
      </c>
      <c r="N33">
        <f>H52-H22</f>
        <v>-0.30662256358742945</v>
      </c>
      <c r="O33" t="s">
        <v>520</v>
      </c>
      <c r="P33">
        <f t="shared" si="14"/>
        <v>0.86807838118631342</v>
      </c>
      <c r="Q33">
        <f t="shared" si="15"/>
        <v>1.6030395542431977</v>
      </c>
      <c r="R33">
        <f t="shared" si="16"/>
        <v>6.5213044505584721</v>
      </c>
      <c r="S33">
        <f t="shared" si="17"/>
        <v>7.2506269845241862</v>
      </c>
      <c r="T33">
        <f t="shared" si="18"/>
        <v>7.4806431632794137</v>
      </c>
      <c r="U33">
        <f t="shared" si="19"/>
        <v>8.2388347850131343</v>
      </c>
      <c r="V33">
        <f>U33-P33</f>
        <v>7.370756403826821</v>
      </c>
      <c r="X33">
        <f t="shared" si="8"/>
        <v>3.1897106051087934E-2</v>
      </c>
      <c r="Y33">
        <f t="shared" si="9"/>
        <v>8.9127940259661809E-2</v>
      </c>
      <c r="Z33">
        <f t="shared" si="10"/>
        <v>4.8219451548288203E-2</v>
      </c>
      <c r="AA33">
        <f t="shared" si="11"/>
        <v>0.1077296723170816</v>
      </c>
      <c r="AB33">
        <f t="shared" si="12"/>
        <v>4.5640139835676087E-2</v>
      </c>
      <c r="AC33">
        <f t="shared" si="13"/>
        <v>2.1891525411740411E-2</v>
      </c>
      <c r="AD33">
        <f>SQRT((X33^2)+(AC33^2))</f>
        <v>3.8686745266140271E-2</v>
      </c>
      <c r="AO33" t="str">
        <f t="shared" si="21"/>
        <v>Bac</v>
      </c>
      <c r="AP33">
        <f t="shared" si="22"/>
        <v>0.21954835930207509</v>
      </c>
      <c r="AQ33">
        <f t="shared" si="20"/>
        <v>0.15528469878652978</v>
      </c>
      <c r="AR33">
        <f t="shared" si="20"/>
        <v>0.13302577726717887</v>
      </c>
      <c r="AT33" s="15" t="s">
        <v>416</v>
      </c>
      <c r="AU33" s="15">
        <v>1.4695903057897781</v>
      </c>
      <c r="AV33" s="15">
        <v>5</v>
      </c>
      <c r="AW33" s="15">
        <v>0.2939180611579556</v>
      </c>
      <c r="AX33" s="15">
        <v>34.347162071630436</v>
      </c>
      <c r="AY33" s="15">
        <v>1.0438377874110844E-6</v>
      </c>
      <c r="AZ33" s="15">
        <v>3.1058752390841229</v>
      </c>
    </row>
    <row r="34" spans="1:52">
      <c r="B34">
        <v>4</v>
      </c>
      <c r="C34">
        <v>42.2</v>
      </c>
      <c r="D34">
        <v>28</v>
      </c>
      <c r="E34">
        <v>29.3</v>
      </c>
      <c r="F34">
        <f t="shared" ref="F34:H35" si="25">(C34-$I$7)/$I$8</f>
        <v>6.8785683324044833E-2</v>
      </c>
      <c r="G34">
        <f t="shared" si="25"/>
        <v>3.9475302908332816E-2</v>
      </c>
      <c r="H34">
        <f t="shared" si="25"/>
        <v>4.215864759427828E-2</v>
      </c>
      <c r="I34">
        <f t="shared" si="1"/>
        <v>5.0139877942218643E-2</v>
      </c>
      <c r="J34">
        <f t="shared" si="2"/>
        <v>1.6203383240194043E-2</v>
      </c>
      <c r="K34" t="s">
        <v>84</v>
      </c>
      <c r="L34">
        <f>F23</f>
        <v>0.67996903833054678</v>
      </c>
      <c r="M34">
        <f>F53</f>
        <v>0.21954835930207509</v>
      </c>
      <c r="N34">
        <f>F53-F23</f>
        <v>-0.46042067902847172</v>
      </c>
      <c r="AO34" t="str">
        <f t="shared" si="21"/>
        <v>Bac+lysate</v>
      </c>
      <c r="AP34">
        <f t="shared" si="22"/>
        <v>8.2194790543343021</v>
      </c>
      <c r="AQ34">
        <f t="shared" si="20"/>
        <v>8.2145018664454579</v>
      </c>
      <c r="AR34">
        <f t="shared" si="20"/>
        <v>8.2825234342596445</v>
      </c>
      <c r="AT34" s="15" t="s">
        <v>417</v>
      </c>
      <c r="AU34" s="15">
        <v>0.10268728247591263</v>
      </c>
      <c r="AV34" s="15">
        <v>12</v>
      </c>
      <c r="AW34" s="15">
        <v>8.5572735396593855E-3</v>
      </c>
      <c r="AX34" s="15"/>
      <c r="AY34" s="15"/>
      <c r="AZ34" s="15"/>
    </row>
    <row r="35" spans="1:52">
      <c r="B35">
        <v>5</v>
      </c>
      <c r="C35">
        <v>265</v>
      </c>
      <c r="D35">
        <v>265.3</v>
      </c>
      <c r="E35">
        <v>280.7</v>
      </c>
      <c r="F35">
        <f t="shared" si="25"/>
        <v>0.52866968026916006</v>
      </c>
      <c r="G35">
        <f t="shared" si="25"/>
        <v>0.52928891365822439</v>
      </c>
      <c r="H35">
        <f t="shared" si="25"/>
        <v>0.56107622763019371</v>
      </c>
      <c r="I35">
        <f t="shared" si="1"/>
        <v>0.53967827385252598</v>
      </c>
      <c r="J35">
        <f t="shared" si="2"/>
        <v>1.8533757900138177E-2</v>
      </c>
      <c r="K35" t="s">
        <v>85</v>
      </c>
      <c r="L35">
        <f>G23</f>
        <v>0.30388796003880525</v>
      </c>
      <c r="M35">
        <f>G53</f>
        <v>0.15528469878652978</v>
      </c>
      <c r="N35">
        <f>G53-G23</f>
        <v>-0.14860326125227546</v>
      </c>
      <c r="AT35" s="15"/>
      <c r="AU35" s="15"/>
      <c r="AV35" s="15"/>
      <c r="AW35" s="15"/>
      <c r="AX35" s="15"/>
      <c r="AY35" s="15"/>
      <c r="AZ35" s="15"/>
    </row>
    <row r="36" spans="1:52" ht="15.75" thickBot="1">
      <c r="B36">
        <v>6</v>
      </c>
      <c r="C36">
        <v>541.5</v>
      </c>
      <c r="D36">
        <v>539.79999999999995</v>
      </c>
      <c r="E36">
        <v>552.6</v>
      </c>
      <c r="F36">
        <f>(C36-$Q$7)/$Q$8</f>
        <v>6.4836591255872067</v>
      </c>
      <c r="G36">
        <f t="shared" ref="G36:H36" si="26">(D36-$Q$7)/$Q$8</f>
        <v>6.4632345343793922</v>
      </c>
      <c r="H36">
        <f t="shared" si="26"/>
        <v>6.6170196917088173</v>
      </c>
      <c r="I36">
        <f t="shared" si="1"/>
        <v>6.5213044505584721</v>
      </c>
      <c r="J36">
        <f t="shared" si="2"/>
        <v>8.3518539994740931E-2</v>
      </c>
      <c r="K36" t="s">
        <v>86</v>
      </c>
      <c r="L36">
        <f>H23</f>
        <v>0.37778314446714961</v>
      </c>
      <c r="M36">
        <f>H53</f>
        <v>0.13302577726717887</v>
      </c>
      <c r="N36">
        <f>H53-H23</f>
        <v>-0.24475736719997074</v>
      </c>
      <c r="AT36" s="16" t="s">
        <v>418</v>
      </c>
      <c r="AU36" s="16">
        <v>1.5722775882656908</v>
      </c>
      <c r="AV36" s="16">
        <v>17</v>
      </c>
      <c r="AW36" s="16"/>
      <c r="AX36" s="16"/>
      <c r="AY36" s="16"/>
      <c r="AZ36" s="16"/>
    </row>
    <row r="37" spans="1:52">
      <c r="A37" t="s">
        <v>18</v>
      </c>
      <c r="B37">
        <v>1</v>
      </c>
      <c r="C37">
        <v>64.7</v>
      </c>
      <c r="D37">
        <v>57.8</v>
      </c>
      <c r="E37">
        <v>59</v>
      </c>
      <c r="F37">
        <f t="shared" ref="F37:H38" si="27">(C37-$I$15)/$I$16</f>
        <v>9.8943264220384089E-2</v>
      </c>
      <c r="G37">
        <f t="shared" si="27"/>
        <v>7.3800240498487768E-2</v>
      </c>
      <c r="H37">
        <f t="shared" si="27"/>
        <v>7.8172940276208872E-2</v>
      </c>
      <c r="I37">
        <f t="shared" si="1"/>
        <v>8.3638814998360234E-2</v>
      </c>
      <c r="J37">
        <f t="shared" si="2"/>
        <v>1.3433158613247018E-2</v>
      </c>
      <c r="K37" t="s">
        <v>87</v>
      </c>
      <c r="L37">
        <f>F24</f>
        <v>0.85067104258261594</v>
      </c>
      <c r="M37">
        <f>F54</f>
        <v>8.2194790543343021</v>
      </c>
      <c r="N37">
        <f>F54-F24</f>
        <v>7.3688080117516863</v>
      </c>
    </row>
    <row r="38" spans="1:52">
      <c r="B38">
        <v>2</v>
      </c>
      <c r="C38">
        <v>90.5</v>
      </c>
      <c r="D38">
        <v>60.6</v>
      </c>
      <c r="E38">
        <v>58.4</v>
      </c>
      <c r="F38">
        <f t="shared" si="27"/>
        <v>0.19295630944138761</v>
      </c>
      <c r="G38">
        <f t="shared" si="27"/>
        <v>8.4003206646503681E-2</v>
      </c>
      <c r="H38">
        <f t="shared" si="27"/>
        <v>7.5986590387348327E-2</v>
      </c>
      <c r="I38">
        <f t="shared" si="1"/>
        <v>0.11764870215841321</v>
      </c>
      <c r="J38">
        <f t="shared" si="2"/>
        <v>6.5341359949703082E-2</v>
      </c>
      <c r="K38" t="s">
        <v>88</v>
      </c>
      <c r="L38">
        <f>G24</f>
        <v>0.82363118459347318</v>
      </c>
      <c r="M38">
        <f>G54</f>
        <v>8.2145018664454579</v>
      </c>
      <c r="N38">
        <f>G54-G24</f>
        <v>7.3908706818519843</v>
      </c>
      <c r="AT38" t="s">
        <v>419</v>
      </c>
    </row>
    <row r="39" spans="1:52">
      <c r="B39">
        <v>3</v>
      </c>
      <c r="C39">
        <v>146.19999999999999</v>
      </c>
      <c r="D39">
        <v>104.1</v>
      </c>
      <c r="E39">
        <v>122.8</v>
      </c>
      <c r="F39">
        <f>(C39-$Q$15)/$Q$16</f>
        <v>2.2653354019652001</v>
      </c>
      <c r="G39">
        <f>(D39-$Q$15)/$Q$16</f>
        <v>1.5630015181088699</v>
      </c>
      <c r="H39">
        <f>(E39-$Q$15)/$Q$16</f>
        <v>1.8749645496555061</v>
      </c>
      <c r="I39">
        <f t="shared" si="1"/>
        <v>1.9011004899098587</v>
      </c>
      <c r="J39">
        <f t="shared" si="2"/>
        <v>0.35189563315408318</v>
      </c>
      <c r="K39" t="s">
        <v>89</v>
      </c>
      <c r="L39">
        <f>H24</f>
        <v>0.92993291638285125</v>
      </c>
      <c r="M39">
        <f>H54</f>
        <v>8.2825234342596445</v>
      </c>
      <c r="N39">
        <f>H54-H24</f>
        <v>7.3525905178767932</v>
      </c>
    </row>
    <row r="40" spans="1:52" ht="15.75" thickBot="1">
      <c r="B40">
        <v>4</v>
      </c>
      <c r="C40">
        <v>82.7</v>
      </c>
      <c r="D40">
        <v>63.8</v>
      </c>
      <c r="E40">
        <v>53.8</v>
      </c>
      <c r="F40">
        <f t="shared" ref="F40:H41" si="28">(C40-$I$15)/$I$16</f>
        <v>0.1645337608862005</v>
      </c>
      <c r="G40">
        <f t="shared" si="28"/>
        <v>9.5663739387093244E-2</v>
      </c>
      <c r="H40">
        <f t="shared" si="28"/>
        <v>5.9224574572750793E-2</v>
      </c>
      <c r="I40">
        <f t="shared" si="1"/>
        <v>0.10647402494868152</v>
      </c>
      <c r="J40">
        <f t="shared" si="2"/>
        <v>5.3480397211899261E-2</v>
      </c>
      <c r="AT40" t="s">
        <v>404</v>
      </c>
    </row>
    <row r="41" spans="1:52">
      <c r="B41">
        <v>5</v>
      </c>
      <c r="C41">
        <v>81.099999999999994</v>
      </c>
      <c r="D41">
        <v>64.599999999999994</v>
      </c>
      <c r="E41">
        <v>73.3</v>
      </c>
      <c r="F41">
        <f t="shared" si="28"/>
        <v>0.15870349451590568</v>
      </c>
      <c r="G41">
        <f t="shared" si="28"/>
        <v>9.8578872572240628E-2</v>
      </c>
      <c r="H41">
        <f t="shared" si="28"/>
        <v>0.13028094596071857</v>
      </c>
      <c r="I41">
        <f t="shared" si="1"/>
        <v>0.12918777101628831</v>
      </c>
      <c r="J41">
        <f t="shared" si="2"/>
        <v>3.0077214208791087E-2</v>
      </c>
      <c r="AT41" s="17" t="s">
        <v>405</v>
      </c>
      <c r="AU41" s="17" t="s">
        <v>406</v>
      </c>
      <c r="AV41" s="17" t="s">
        <v>407</v>
      </c>
      <c r="AW41" s="17" t="s">
        <v>0</v>
      </c>
      <c r="AX41" s="17" t="s">
        <v>408</v>
      </c>
    </row>
    <row r="42" spans="1:52">
      <c r="B42">
        <v>6</v>
      </c>
      <c r="C42">
        <v>435.4</v>
      </c>
      <c r="D42">
        <v>442.4</v>
      </c>
      <c r="E42">
        <v>457.3</v>
      </c>
      <c r="F42">
        <f>(C42-$Q$15)/$Q$16</f>
        <v>7.0899187561516772</v>
      </c>
      <c r="G42">
        <f>(D42-$Q$15)/$Q$16</f>
        <v>7.2066963615434663</v>
      </c>
      <c r="H42">
        <f>(E42-$Q$15)/$Q$16</f>
        <v>7.4552658358774178</v>
      </c>
      <c r="I42">
        <f t="shared" si="1"/>
        <v>7.2506269845241862</v>
      </c>
      <c r="J42">
        <f t="shared" si="2"/>
        <v>0.1865932659359317</v>
      </c>
      <c r="AT42" s="15" t="s">
        <v>91</v>
      </c>
      <c r="AU42" s="15">
        <v>3</v>
      </c>
      <c r="AV42" s="15">
        <v>0.43497881812307021</v>
      </c>
      <c r="AW42" s="15">
        <v>0.14499293937435673</v>
      </c>
      <c r="AX42" s="15">
        <v>1.214718080908464E-3</v>
      </c>
    </row>
    <row r="43" spans="1:52">
      <c r="A43" t="s">
        <v>19</v>
      </c>
      <c r="B43">
        <v>1</v>
      </c>
      <c r="C43">
        <v>83.2</v>
      </c>
      <c r="D43">
        <v>76.599999999999994</v>
      </c>
      <c r="E43">
        <v>70.2</v>
      </c>
      <c r="F43">
        <f>(C43-$I$63)/$I$64</f>
        <v>0.17251741222086595</v>
      </c>
      <c r="G43">
        <f t="shared" ref="G43:H53" si="29">(D43-$I$63)/$I$64</f>
        <v>0.14882243124865366</v>
      </c>
      <c r="H43">
        <f t="shared" si="29"/>
        <v>0.12584548000287213</v>
      </c>
      <c r="I43">
        <f t="shared" si="1"/>
        <v>0.14906177449079724</v>
      </c>
      <c r="J43">
        <f t="shared" si="2"/>
        <v>2.3336886641772119E-2</v>
      </c>
      <c r="AT43" s="15" t="s">
        <v>90</v>
      </c>
      <c r="AU43" s="15">
        <v>3</v>
      </c>
      <c r="AV43" s="15">
        <v>0.3969232426222446</v>
      </c>
      <c r="AW43" s="15">
        <v>0.1323077475407482</v>
      </c>
      <c r="AX43" s="15">
        <v>1.0984792747011956E-2</v>
      </c>
    </row>
    <row r="44" spans="1:52">
      <c r="B44">
        <v>2</v>
      </c>
      <c r="C44">
        <v>68.8</v>
      </c>
      <c r="D44">
        <v>61</v>
      </c>
      <c r="E44">
        <v>58.8</v>
      </c>
      <c r="F44">
        <f t="shared" ref="F44:F53" si="30">(C44-$I$63)/$I$64</f>
        <v>0.12081927191785738</v>
      </c>
      <c r="G44">
        <f t="shared" si="29"/>
        <v>9.28161125870611E-2</v>
      </c>
      <c r="H44">
        <f t="shared" si="29"/>
        <v>8.4917785596323681E-2</v>
      </c>
      <c r="I44">
        <f t="shared" si="1"/>
        <v>9.9517723367080715E-2</v>
      </c>
      <c r="J44">
        <f t="shared" si="2"/>
        <v>1.8865653190625969E-2</v>
      </c>
      <c r="AT44" s="15" t="s">
        <v>92</v>
      </c>
      <c r="AU44" s="15">
        <v>3</v>
      </c>
      <c r="AV44" s="15">
        <v>0.37502333596610904</v>
      </c>
      <c r="AW44" s="15">
        <v>0.12500777865536969</v>
      </c>
      <c r="AX44" s="15">
        <v>7.5908602035477252E-4</v>
      </c>
    </row>
    <row r="45" spans="1:52">
      <c r="B45">
        <v>3</v>
      </c>
      <c r="C45">
        <v>80</v>
      </c>
      <c r="D45">
        <v>73.099999999999994</v>
      </c>
      <c r="E45">
        <v>72.3</v>
      </c>
      <c r="F45">
        <f t="shared" si="30"/>
        <v>0.16102893659797515</v>
      </c>
      <c r="G45">
        <f t="shared" si="29"/>
        <v>0.13625691103611687</v>
      </c>
      <c r="H45">
        <f t="shared" si="29"/>
        <v>0.1333847921303942</v>
      </c>
      <c r="I45">
        <f t="shared" si="1"/>
        <v>0.14355687992149543</v>
      </c>
      <c r="J45">
        <f t="shared" si="2"/>
        <v>1.5199238143135424E-2</v>
      </c>
      <c r="AT45" s="15" t="s">
        <v>93</v>
      </c>
      <c r="AU45" s="15">
        <v>3</v>
      </c>
      <c r="AV45" s="15">
        <v>0.32763337402168452</v>
      </c>
      <c r="AW45" s="15">
        <v>0.10921112467389484</v>
      </c>
      <c r="AX45" s="15">
        <v>1.2206470978208921E-3</v>
      </c>
    </row>
    <row r="46" spans="1:52">
      <c r="B46">
        <v>4</v>
      </c>
      <c r="C46">
        <v>91.1</v>
      </c>
      <c r="D46">
        <v>76.3</v>
      </c>
      <c r="E46">
        <v>116.5</v>
      </c>
      <c r="F46">
        <f t="shared" si="30"/>
        <v>0.20087958641487755</v>
      </c>
      <c r="G46">
        <f t="shared" si="29"/>
        <v>0.14774538665900766</v>
      </c>
      <c r="H46">
        <f t="shared" si="29"/>
        <v>0.29206936167157321</v>
      </c>
      <c r="I46">
        <f t="shared" si="1"/>
        <v>0.2135647782484861</v>
      </c>
      <c r="J46">
        <f t="shared" si="2"/>
        <v>7.2993410728287661E-2</v>
      </c>
      <c r="AT46" s="15" t="s">
        <v>94</v>
      </c>
      <c r="AU46" s="15">
        <v>3</v>
      </c>
      <c r="AV46" s="15">
        <v>0.5078588353557838</v>
      </c>
      <c r="AW46" s="15">
        <v>0.16928627845192792</v>
      </c>
      <c r="AX46" s="15">
        <v>2.0185724753411932E-3</v>
      </c>
    </row>
    <row r="47" spans="1:52" ht="15.75" thickBot="1">
      <c r="B47">
        <v>5</v>
      </c>
      <c r="C47">
        <v>72.5</v>
      </c>
      <c r="D47">
        <v>59.7</v>
      </c>
      <c r="E47">
        <v>73.7</v>
      </c>
      <c r="F47">
        <f t="shared" si="30"/>
        <v>0.13410282185682487</v>
      </c>
      <c r="G47">
        <f t="shared" si="29"/>
        <v>8.814891936526173E-2</v>
      </c>
      <c r="H47">
        <f t="shared" si="29"/>
        <v>0.13841100021540892</v>
      </c>
      <c r="I47">
        <f t="shared" si="1"/>
        <v>0.12022091381249851</v>
      </c>
      <c r="J47">
        <f t="shared" si="2"/>
        <v>2.7858566385584704E-2</v>
      </c>
      <c r="AT47" s="16" t="s">
        <v>95</v>
      </c>
      <c r="AU47" s="16">
        <v>3</v>
      </c>
      <c r="AV47" s="16">
        <v>24.716504355039405</v>
      </c>
      <c r="AW47" s="16">
        <v>8.2388347850131343</v>
      </c>
      <c r="AX47" s="16">
        <v>1.4377166545586281E-3</v>
      </c>
    </row>
    <row r="48" spans="1:52">
      <c r="B48">
        <v>6</v>
      </c>
      <c r="C48">
        <v>454.5</v>
      </c>
      <c r="D48">
        <v>456</v>
      </c>
      <c r="E48">
        <v>463.4</v>
      </c>
      <c r="F48">
        <f>(C48-$Q$63)/$Q$64</f>
        <v>7.4231289921194525</v>
      </c>
      <c r="G48">
        <f t="shared" ref="G48:H48" si="31">(D48-$Q$63)/$Q$64</f>
        <v>7.4480149315636668</v>
      </c>
      <c r="H48">
        <f t="shared" si="31"/>
        <v>7.5707855661551227</v>
      </c>
      <c r="I48">
        <f t="shared" si="1"/>
        <v>7.4806431632794137</v>
      </c>
      <c r="J48">
        <f t="shared" si="2"/>
        <v>7.905104105993925E-2</v>
      </c>
    </row>
    <row r="49" spans="1:52">
      <c r="A49" t="s">
        <v>244</v>
      </c>
      <c r="B49">
        <v>1</v>
      </c>
      <c r="C49">
        <v>77.2</v>
      </c>
      <c r="D49">
        <v>84.3</v>
      </c>
      <c r="E49">
        <v>65.099999999999994</v>
      </c>
      <c r="F49">
        <f t="shared" si="30"/>
        <v>0.15097652042794571</v>
      </c>
      <c r="G49">
        <f t="shared" si="29"/>
        <v>0.17646657571623464</v>
      </c>
      <c r="H49">
        <f t="shared" si="29"/>
        <v>0.1075357219788899</v>
      </c>
      <c r="I49">
        <f t="shared" ref="I49:I54" si="32">AVERAGE(F49:H49)</f>
        <v>0.14499293937435673</v>
      </c>
      <c r="J49">
        <f t="shared" ref="J49:J54" si="33">STDEV(F49:H49)</f>
        <v>3.4852805925900197E-2</v>
      </c>
    </row>
    <row r="50" spans="1:52" ht="15.75" thickBot="1">
      <c r="B50">
        <v>2</v>
      </c>
      <c r="C50">
        <v>105.5</v>
      </c>
      <c r="D50">
        <v>58.5</v>
      </c>
      <c r="E50">
        <v>52</v>
      </c>
      <c r="F50">
        <f t="shared" si="30"/>
        <v>0.25257772671788614</v>
      </c>
      <c r="G50">
        <f t="shared" si="29"/>
        <v>8.3840741006677683E-2</v>
      </c>
      <c r="H50">
        <f t="shared" si="29"/>
        <v>6.0504774897680767E-2</v>
      </c>
      <c r="I50">
        <f t="shared" si="32"/>
        <v>0.1323077475407482</v>
      </c>
      <c r="J50">
        <f t="shared" si="33"/>
        <v>0.10480836200901127</v>
      </c>
      <c r="AT50" t="s">
        <v>409</v>
      </c>
    </row>
    <row r="51" spans="1:52">
      <c r="B51">
        <v>3</v>
      </c>
      <c r="C51">
        <v>78.7</v>
      </c>
      <c r="D51">
        <v>66.900000000000006</v>
      </c>
      <c r="E51">
        <v>64.3</v>
      </c>
      <c r="F51">
        <f t="shared" si="30"/>
        <v>0.15636174337617578</v>
      </c>
      <c r="G51">
        <f t="shared" si="29"/>
        <v>0.11399798951676601</v>
      </c>
      <c r="H51">
        <f t="shared" si="29"/>
        <v>0.10466360307316722</v>
      </c>
      <c r="I51">
        <f t="shared" si="32"/>
        <v>0.12500777865536969</v>
      </c>
      <c r="J51">
        <f t="shared" si="33"/>
        <v>2.7551515754215276E-2</v>
      </c>
      <c r="AT51" s="17" t="s">
        <v>410</v>
      </c>
      <c r="AU51" s="17" t="s">
        <v>411</v>
      </c>
      <c r="AV51" s="17" t="s">
        <v>412</v>
      </c>
      <c r="AW51" s="17" t="s">
        <v>413</v>
      </c>
      <c r="AX51" s="17" t="s">
        <v>372</v>
      </c>
      <c r="AY51" s="17" t="s">
        <v>414</v>
      </c>
      <c r="AZ51" s="17" t="s">
        <v>415</v>
      </c>
    </row>
    <row r="52" spans="1:52">
      <c r="B52">
        <v>4</v>
      </c>
      <c r="C52">
        <v>76.8</v>
      </c>
      <c r="D52">
        <v>59.7</v>
      </c>
      <c r="E52">
        <v>60.2</v>
      </c>
      <c r="F52">
        <f t="shared" si="30"/>
        <v>0.14954046097508436</v>
      </c>
      <c r="G52">
        <f t="shared" si="29"/>
        <v>8.814891936526173E-2</v>
      </c>
      <c r="H52">
        <f t="shared" si="29"/>
        <v>8.9943993681338416E-2</v>
      </c>
      <c r="I52">
        <f t="shared" si="32"/>
        <v>0.10921112467389484</v>
      </c>
      <c r="J52">
        <f t="shared" si="33"/>
        <v>3.4937760343515041E-2</v>
      </c>
      <c r="AT52" s="15" t="s">
        <v>416</v>
      </c>
      <c r="AU52" s="15">
        <v>164.13942160180446</v>
      </c>
      <c r="AV52" s="15">
        <v>5</v>
      </c>
      <c r="AW52" s="15">
        <v>32.827884320360894</v>
      </c>
      <c r="AX52" s="15">
        <v>11168.7752830257</v>
      </c>
      <c r="AY52" s="15">
        <v>1.4413838794208445E-21</v>
      </c>
      <c r="AZ52" s="15">
        <v>3.1058752390841229</v>
      </c>
    </row>
    <row r="53" spans="1:52">
      <c r="B53">
        <v>5</v>
      </c>
      <c r="C53">
        <v>96.3</v>
      </c>
      <c r="D53">
        <v>78.400000000000006</v>
      </c>
      <c r="E53">
        <v>72.2</v>
      </c>
      <c r="F53">
        <f t="shared" si="30"/>
        <v>0.21954835930207509</v>
      </c>
      <c r="G53">
        <f t="shared" si="29"/>
        <v>0.15528469878652978</v>
      </c>
      <c r="H53">
        <f t="shared" si="29"/>
        <v>0.13302577726717887</v>
      </c>
      <c r="I53">
        <f t="shared" si="32"/>
        <v>0.16928627845192792</v>
      </c>
      <c r="J53">
        <f t="shared" si="33"/>
        <v>4.4928526298346282E-2</v>
      </c>
      <c r="AT53" s="15" t="s">
        <v>417</v>
      </c>
      <c r="AU53" s="15">
        <v>3.5271066151991833E-2</v>
      </c>
      <c r="AV53" s="15">
        <v>12</v>
      </c>
      <c r="AW53" s="15">
        <v>2.939255512665986E-3</v>
      </c>
      <c r="AX53" s="15"/>
      <c r="AY53" s="15"/>
      <c r="AZ53" s="15"/>
    </row>
    <row r="54" spans="1:52">
      <c r="B54">
        <v>6</v>
      </c>
      <c r="C54">
        <v>502.5</v>
      </c>
      <c r="D54">
        <v>502.2</v>
      </c>
      <c r="E54">
        <v>506.3</v>
      </c>
      <c r="F54">
        <f>(C54-$Q$63)/$Q$64</f>
        <v>8.2194790543343021</v>
      </c>
      <c r="G54">
        <f t="shared" ref="G54:H54" si="34">(D54-$Q$63)/$Q$64</f>
        <v>8.2145018664454579</v>
      </c>
      <c r="H54">
        <f t="shared" si="34"/>
        <v>8.2825234342596445</v>
      </c>
      <c r="I54">
        <f t="shared" si="32"/>
        <v>8.2388347850131343</v>
      </c>
      <c r="J54">
        <f t="shared" si="33"/>
        <v>3.7917234268319576E-2</v>
      </c>
      <c r="AT54" s="15"/>
      <c r="AU54" s="15"/>
      <c r="AV54" s="15"/>
      <c r="AW54" s="15"/>
      <c r="AX54" s="15"/>
      <c r="AY54" s="15"/>
      <c r="AZ54" s="15"/>
    </row>
    <row r="55" spans="1:52" ht="15.75" thickBot="1">
      <c r="AT55" s="16" t="s">
        <v>418</v>
      </c>
      <c r="AU55" s="16">
        <v>164.17469266795644</v>
      </c>
      <c r="AV55" s="16">
        <v>17</v>
      </c>
      <c r="AW55" s="16"/>
      <c r="AX55" s="16"/>
      <c r="AY55" s="16"/>
      <c r="AZ55" s="16"/>
    </row>
    <row r="57" spans="1:52">
      <c r="AT57" t="s">
        <v>430</v>
      </c>
    </row>
    <row r="59" spans="1:52">
      <c r="C59">
        <v>0</v>
      </c>
      <c r="D59">
        <v>26.1</v>
      </c>
      <c r="E59">
        <v>34</v>
      </c>
      <c r="F59">
        <f>AVERAGE(D59:E59)</f>
        <v>30.05</v>
      </c>
      <c r="K59">
        <v>0</v>
      </c>
      <c r="L59">
        <v>3.7</v>
      </c>
      <c r="M59">
        <v>4.2</v>
      </c>
      <c r="N59">
        <f>AVERAGE(L59:M59)</f>
        <v>3.95</v>
      </c>
    </row>
    <row r="60" spans="1:52">
      <c r="C60">
        <v>0.1</v>
      </c>
      <c r="D60">
        <v>64.400000000000006</v>
      </c>
      <c r="E60">
        <v>70.7</v>
      </c>
      <c r="F60">
        <f>AVERAGE(D60:E60)</f>
        <v>67.550000000000011</v>
      </c>
      <c r="K60">
        <v>0.5</v>
      </c>
      <c r="L60">
        <v>21.5</v>
      </c>
      <c r="M60">
        <v>22.9</v>
      </c>
      <c r="N60">
        <f>AVERAGE(L60:M60)</f>
        <v>22.2</v>
      </c>
    </row>
    <row r="61" spans="1:52">
      <c r="C61">
        <v>0.25</v>
      </c>
      <c r="D61">
        <v>106.8</v>
      </c>
      <c r="E61">
        <v>108.6</v>
      </c>
      <c r="F61">
        <f>AVERAGE(D61:E61)</f>
        <v>107.69999999999999</v>
      </c>
      <c r="K61">
        <v>1</v>
      </c>
      <c r="L61">
        <v>76.599999999999994</v>
      </c>
      <c r="M61">
        <v>78.099999999999994</v>
      </c>
      <c r="N61">
        <f>AVERAGE(L61:M61)</f>
        <v>77.349999999999994</v>
      </c>
    </row>
    <row r="62" spans="1:52">
      <c r="C62">
        <v>0.5</v>
      </c>
      <c r="D62">
        <v>165.4</v>
      </c>
      <c r="E62">
        <v>178.7</v>
      </c>
      <c r="F62">
        <f>AVERAGE(D62:E62)</f>
        <v>172.05</v>
      </c>
      <c r="K62">
        <v>5</v>
      </c>
      <c r="L62">
        <v>321.3</v>
      </c>
      <c r="M62">
        <v>329.1</v>
      </c>
      <c r="N62">
        <f>AVERAGE(L62:M62)</f>
        <v>325.20000000000005</v>
      </c>
    </row>
    <row r="63" spans="1:52">
      <c r="C63">
        <v>1</v>
      </c>
      <c r="D63">
        <v>600.1</v>
      </c>
      <c r="E63">
        <v>607.6</v>
      </c>
      <c r="F63">
        <f>AVERAGE(D63:E63)</f>
        <v>603.85</v>
      </c>
      <c r="H63" t="s">
        <v>20</v>
      </c>
      <c r="I63">
        <v>35.146999999999998</v>
      </c>
      <c r="K63">
        <v>10</v>
      </c>
      <c r="L63">
        <v>600.20000000000005</v>
      </c>
      <c r="M63">
        <v>602.20000000000005</v>
      </c>
      <c r="N63">
        <f>AVERAGE(L63:M63)</f>
        <v>601.20000000000005</v>
      </c>
      <c r="P63" t="s">
        <v>20</v>
      </c>
      <c r="Q63">
        <v>7.0709</v>
      </c>
    </row>
    <row r="64" spans="1:52">
      <c r="H64" t="s">
        <v>21</v>
      </c>
      <c r="I64">
        <v>278.54000000000002</v>
      </c>
      <c r="P64" t="s">
        <v>21</v>
      </c>
      <c r="Q64">
        <v>60.274999999999999</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AB39"/>
  <sheetViews>
    <sheetView workbookViewId="0">
      <selection activeCell="N32" sqref="N32"/>
    </sheetView>
  </sheetViews>
  <sheetFormatPr defaultRowHeight="15"/>
  <cols>
    <col min="2" max="2" width="12.5703125" customWidth="1"/>
    <col min="3" max="3" width="12" bestFit="1" customWidth="1"/>
    <col min="4" max="4" width="12" customWidth="1"/>
    <col min="6" max="6" width="9.140625" customWidth="1"/>
    <col min="8" max="9" width="12" bestFit="1" customWidth="1"/>
    <col min="10" max="10" width="9.5703125" customWidth="1"/>
    <col min="11" max="11" width="12" bestFit="1" customWidth="1"/>
    <col min="18" max="18" width="10" bestFit="1" customWidth="1"/>
    <col min="21" max="21" width="12.5703125" bestFit="1" customWidth="1"/>
    <col min="22" max="22" width="11.5703125" bestFit="1" customWidth="1"/>
    <col min="26" max="26" width="10.5703125" customWidth="1"/>
  </cols>
  <sheetData>
    <row r="2" spans="2:28">
      <c r="T2" t="s">
        <v>449</v>
      </c>
      <c r="Y2" t="s">
        <v>448</v>
      </c>
    </row>
    <row r="3" spans="2:28">
      <c r="B3" t="s">
        <v>268</v>
      </c>
    </row>
    <row r="4" spans="2:28">
      <c r="C4">
        <v>0</v>
      </c>
      <c r="D4">
        <v>1</v>
      </c>
      <c r="E4">
        <v>2</v>
      </c>
      <c r="F4">
        <v>3</v>
      </c>
      <c r="G4">
        <v>4</v>
      </c>
      <c r="H4">
        <v>5</v>
      </c>
      <c r="I4" t="s">
        <v>270</v>
      </c>
      <c r="J4" t="s">
        <v>283</v>
      </c>
      <c r="U4" t="str">
        <f>'DC2'!T4</f>
        <v>Increase</v>
      </c>
      <c r="Y4" s="11"/>
      <c r="Z4">
        <f>D22</f>
        <v>395698400000</v>
      </c>
      <c r="AA4">
        <f>D21-D20</f>
        <v>9625000000</v>
      </c>
      <c r="AB4" t="str">
        <f>E22</f>
        <v>cell/L</v>
      </c>
    </row>
    <row r="5" spans="2:28">
      <c r="B5" t="s">
        <v>91</v>
      </c>
      <c r="C5">
        <v>7.6289134438305695</v>
      </c>
      <c r="D5">
        <v>8.6321362799263337</v>
      </c>
      <c r="E5">
        <v>15.806169429097602</v>
      </c>
      <c r="F5">
        <v>27.837937384898709</v>
      </c>
      <c r="G5">
        <v>47.056629834254146</v>
      </c>
      <c r="H5">
        <v>53.233519034354686</v>
      </c>
      <c r="I5">
        <f>H5-C5</f>
        <v>45.604605590524116</v>
      </c>
      <c r="J5" t="s">
        <v>274</v>
      </c>
      <c r="T5" t="str">
        <f>'DC2'!M5</f>
        <v>1a</v>
      </c>
      <c r="U5">
        <f>'DC2'!T5</f>
        <v>43.364621646993641</v>
      </c>
      <c r="Z5">
        <f>D23</f>
        <v>111980900000</v>
      </c>
      <c r="AB5" t="str">
        <f>E23</f>
        <v>cell/L</v>
      </c>
    </row>
    <row r="6" spans="2:28">
      <c r="B6" t="s">
        <v>90</v>
      </c>
      <c r="C6">
        <v>7.9231123388581937</v>
      </c>
      <c r="D6">
        <v>8.2877532228360948</v>
      </c>
      <c r="E6">
        <v>11.926104972375688</v>
      </c>
      <c r="F6">
        <v>21.402854511970531</v>
      </c>
      <c r="G6">
        <v>31.539134438305709</v>
      </c>
      <c r="H6">
        <v>29.306870937790155</v>
      </c>
      <c r="I6">
        <f>H6-C6</f>
        <v>21.383758598931962</v>
      </c>
      <c r="J6" t="s">
        <v>271</v>
      </c>
      <c r="T6" t="str">
        <f>'DC2'!M6</f>
        <v>1b</v>
      </c>
      <c r="U6">
        <f>'DC2'!T6</f>
        <v>42.434971298419491</v>
      </c>
    </row>
    <row r="7" spans="2:28">
      <c r="B7" t="s">
        <v>92</v>
      </c>
      <c r="C7">
        <v>7.6606813996316747</v>
      </c>
      <c r="D7">
        <v>6.984806629834253</v>
      </c>
      <c r="E7">
        <v>7.7783149171270711</v>
      </c>
      <c r="F7">
        <v>10.215930018416204</v>
      </c>
      <c r="G7">
        <v>16.069060773480661</v>
      </c>
      <c r="H7">
        <v>20.140668523676879</v>
      </c>
      <c r="I7">
        <f>H7-C7</f>
        <v>12.479987124045206</v>
      </c>
      <c r="J7" t="s">
        <v>272</v>
      </c>
      <c r="T7" t="str">
        <f>'DC2'!M7</f>
        <v>1c</v>
      </c>
      <c r="U7">
        <f>'DC2'!T7</f>
        <v>51.014223826159217</v>
      </c>
      <c r="Y7" t="str">
        <f>C25</f>
        <v>Decrease</v>
      </c>
      <c r="Z7">
        <f>Z4-Z5</f>
        <v>283717500000</v>
      </c>
      <c r="AA7">
        <f>AA4</f>
        <v>9625000000</v>
      </c>
      <c r="AB7" t="str">
        <f>E25</f>
        <v>cell/L</v>
      </c>
    </row>
    <row r="8" spans="2:28">
      <c r="B8" t="s">
        <v>93</v>
      </c>
      <c r="C8">
        <v>7.6491712707182318</v>
      </c>
      <c r="D8">
        <v>7.2974217311233884</v>
      </c>
      <c r="E8">
        <v>6.5695211786372001</v>
      </c>
      <c r="F8">
        <v>6.3402394106813986</v>
      </c>
      <c r="G8">
        <v>6.1772559852670348</v>
      </c>
      <c r="H8">
        <v>6.929433611884865</v>
      </c>
      <c r="I8">
        <f>H8-C8</f>
        <v>-0.71973765883336682</v>
      </c>
      <c r="J8" t="s">
        <v>273</v>
      </c>
      <c r="T8" t="str">
        <f>'DC2'!M8</f>
        <v>2a</v>
      </c>
      <c r="U8">
        <f>'DC2'!T8</f>
        <v>17.97805444836024</v>
      </c>
    </row>
    <row r="9" spans="2:28">
      <c r="I9">
        <f>I5-I6-I7</f>
        <v>11.740859867546948</v>
      </c>
      <c r="J9" t="s">
        <v>447</v>
      </c>
      <c r="T9" t="str">
        <f>'DC2'!M9</f>
        <v>2b</v>
      </c>
      <c r="U9">
        <f>'DC2'!T9</f>
        <v>20.695220763631326</v>
      </c>
      <c r="Y9" t="str">
        <f>B27</f>
        <v>Cell quota</v>
      </c>
      <c r="Z9">
        <f>C27</f>
        <v>2.54</v>
      </c>
      <c r="AB9" t="str">
        <f>D27</f>
        <v>fmol/cell</v>
      </c>
    </row>
    <row r="10" spans="2:28">
      <c r="T10" t="str">
        <f>'DC2'!M10</f>
        <v>2c</v>
      </c>
      <c r="U10">
        <f>'DC2'!T10</f>
        <v>25.47800058480432</v>
      </c>
    </row>
    <row r="11" spans="2:28">
      <c r="B11" t="s">
        <v>91</v>
      </c>
      <c r="C11">
        <v>0.22893342594974767</v>
      </c>
      <c r="D11">
        <v>0.57499111365837452</v>
      </c>
      <c r="E11">
        <v>2.6168461532288498</v>
      </c>
      <c r="F11">
        <v>6.078247254758284</v>
      </c>
      <c r="G11">
        <v>9.4536468211597722</v>
      </c>
      <c r="H11">
        <v>4.4881546627254849</v>
      </c>
      <c r="K11">
        <f>I9*100000*1000</f>
        <v>1174085986.7546949</v>
      </c>
      <c r="L11" t="s">
        <v>277</v>
      </c>
      <c r="T11" t="str">
        <f>'DC2'!M11</f>
        <v>3a</v>
      </c>
      <c r="U11">
        <f>'DC2'!T11</f>
        <v>11.18947660013235</v>
      </c>
      <c r="Z11">
        <f>Z7*Z9/1000000000</f>
        <v>720.64245000000005</v>
      </c>
      <c r="AA11">
        <f>AA7*Z9/1000000000</f>
        <v>24.447500000000002</v>
      </c>
      <c r="AB11" t="str">
        <f>E30</f>
        <v>uM N released by PWH3a cell lysis</v>
      </c>
    </row>
    <row r="12" spans="2:28">
      <c r="B12" t="s">
        <v>90</v>
      </c>
      <c r="C12">
        <v>0.26071821643393589</v>
      </c>
      <c r="D12">
        <v>0.71388443678409674</v>
      </c>
      <c r="E12">
        <v>0.76863679115167582</v>
      </c>
      <c r="F12">
        <v>4.6496116165910841</v>
      </c>
      <c r="G12">
        <v>2.3455402944124555</v>
      </c>
      <c r="H12">
        <v>3.6670868387658642</v>
      </c>
      <c r="K12">
        <f>I5*100000*1000*7.83/1000000000</f>
        <v>35.708406177380375</v>
      </c>
      <c r="L12" t="s">
        <v>502</v>
      </c>
      <c r="T12" t="str">
        <f>'DC2'!M12</f>
        <v>3b</v>
      </c>
      <c r="U12">
        <f>'DC2'!T12</f>
        <v>14.304186737253573</v>
      </c>
    </row>
    <row r="13" spans="2:28">
      <c r="B13" t="s">
        <v>92</v>
      </c>
      <c r="C13">
        <v>8.7096925689465976E-2</v>
      </c>
      <c r="D13">
        <v>0.1617615024525681</v>
      </c>
      <c r="E13">
        <v>2.441667062108244E-2</v>
      </c>
      <c r="F13">
        <v>1.4446386964002729</v>
      </c>
      <c r="G13">
        <v>2.0523035358151742</v>
      </c>
      <c r="H13">
        <v>1.5547237166616636</v>
      </c>
      <c r="K13">
        <f>K11*7.83/1000000000</f>
        <v>9.193093276289261</v>
      </c>
      <c r="L13" t="s">
        <v>441</v>
      </c>
      <c r="T13" t="str">
        <f>'DC2'!M13</f>
        <v>3c</v>
      </c>
      <c r="U13">
        <f>'DC2'!T13</f>
        <v>11.946298034749688</v>
      </c>
      <c r="Z13">
        <f>Z11*(10/200)</f>
        <v>36.032122500000007</v>
      </c>
      <c r="AA13">
        <f>AA11*(10/200)</f>
        <v>1.2223750000000002</v>
      </c>
      <c r="AB13" t="str">
        <f>E32</f>
        <v>uM N of PWH3a cell lysate, when 10ml added to 200ml culture</v>
      </c>
    </row>
    <row r="14" spans="2:28">
      <c r="B14" t="s">
        <v>93</v>
      </c>
      <c r="C14">
        <v>0.19512326861376414</v>
      </c>
      <c r="D14">
        <v>0.30778902551287096</v>
      </c>
      <c r="E14">
        <v>0.54226972000411</v>
      </c>
      <c r="F14">
        <v>0.89724838454775957</v>
      </c>
      <c r="G14">
        <v>0.4922368499920905</v>
      </c>
      <c r="H14">
        <v>0.74791129577457161</v>
      </c>
      <c r="K14">
        <f>I7*100000*1000*7.83/1000000000</f>
        <v>9.7718299181273949</v>
      </c>
      <c r="L14" t="s">
        <v>494</v>
      </c>
    </row>
    <row r="15" spans="2:28">
      <c r="K15">
        <f>I6*100000*1000*7.83/1000000000</f>
        <v>16.743482982963727</v>
      </c>
      <c r="U15" t="s">
        <v>0</v>
      </c>
      <c r="V15" t="s">
        <v>11</v>
      </c>
    </row>
    <row r="16" spans="2:28">
      <c r="T16" t="str">
        <f>B5</f>
        <v>DC2+Bac+Lys</v>
      </c>
      <c r="U16">
        <f>AVERAGE(U5:U7)</f>
        <v>45.604605590524123</v>
      </c>
      <c r="V16">
        <f>STDEV(U5:U7)</f>
        <v>4.7078699572245917</v>
      </c>
      <c r="W16" t="s">
        <v>274</v>
      </c>
    </row>
    <row r="17" spans="2:27">
      <c r="B17" t="s">
        <v>269</v>
      </c>
      <c r="T17" t="str">
        <f>B6</f>
        <v>DC2+Bac</v>
      </c>
      <c r="U17">
        <f>AVERAGE(U8:U10)</f>
        <v>21.383758598931962</v>
      </c>
      <c r="V17">
        <f>STDEV(U8:U10)</f>
        <v>3.7970858925458906</v>
      </c>
      <c r="W17" t="s">
        <v>271</v>
      </c>
    </row>
    <row r="18" spans="2:27">
      <c r="T18" t="str">
        <f>B7</f>
        <v>DC2+Lys</v>
      </c>
      <c r="U18">
        <f>AVERAGE(U11:U13)</f>
        <v>12.479987124045204</v>
      </c>
      <c r="V18">
        <f>STDEV(U11:U13)</f>
        <v>1.6244915643351889</v>
      </c>
      <c r="W18" t="s">
        <v>272</v>
      </c>
    </row>
    <row r="19" spans="2:27">
      <c r="H19" s="11" t="s">
        <v>489</v>
      </c>
    </row>
    <row r="20" spans="2:27">
      <c r="C20" t="s">
        <v>370</v>
      </c>
      <c r="D20">
        <v>390885900000</v>
      </c>
      <c r="E20" t="s">
        <v>277</v>
      </c>
      <c r="I20" t="s">
        <v>483</v>
      </c>
      <c r="U20">
        <f>U16-U17-U18</f>
        <v>11.740859867546957</v>
      </c>
      <c r="V20">
        <f>SQRT((V16^2)+(V17^2)+(V18^2))</f>
        <v>6.2626570760424913</v>
      </c>
      <c r="W20" t="s">
        <v>447</v>
      </c>
    </row>
    <row r="21" spans="2:27">
      <c r="C21" t="s">
        <v>371</v>
      </c>
      <c r="D21">
        <v>400510900000</v>
      </c>
      <c r="E21" t="s">
        <v>277</v>
      </c>
      <c r="I21">
        <v>1.34</v>
      </c>
      <c r="J21" t="s">
        <v>437</v>
      </c>
      <c r="N21" s="22">
        <f>K14</f>
        <v>9.7718299181273949</v>
      </c>
      <c r="O21" t="s">
        <v>494</v>
      </c>
      <c r="U21">
        <f>U20*100000000</f>
        <v>1174085986.7546957</v>
      </c>
      <c r="V21">
        <f>V20*100000000</f>
        <v>626265707.60424912</v>
      </c>
      <c r="W21" t="s">
        <v>277</v>
      </c>
    </row>
    <row r="22" spans="2:27">
      <c r="C22" t="s">
        <v>275</v>
      </c>
      <c r="D22">
        <f>AVERAGE(D20:D21)</f>
        <v>395698400000</v>
      </c>
      <c r="E22" t="s">
        <v>277</v>
      </c>
      <c r="F22">
        <f>D21-D20</f>
        <v>9625000000</v>
      </c>
      <c r="N22" s="12">
        <f>K13</f>
        <v>9.193093276289261</v>
      </c>
      <c r="O22" t="str">
        <f>L13</f>
        <v>uM N incorporated by DC2 from Bac remin</v>
      </c>
      <c r="U22">
        <f>U21*7.83/1000000000</f>
        <v>9.1930932762892663</v>
      </c>
      <c r="V22">
        <f>V21*7.83/1000000000</f>
        <v>4.9036604905412702</v>
      </c>
      <c r="W22" t="str">
        <f>L13</f>
        <v>uM N incorporated by DC2 from Bac remin</v>
      </c>
    </row>
    <row r="23" spans="2:27">
      <c r="C23" t="s">
        <v>276</v>
      </c>
      <c r="D23">
        <v>111980900000</v>
      </c>
      <c r="E23" t="s">
        <v>277</v>
      </c>
      <c r="I23" t="s">
        <v>484</v>
      </c>
      <c r="M23" s="12"/>
      <c r="N23" s="12">
        <f>D32</f>
        <v>36.032122500000007</v>
      </c>
      <c r="O23" t="str">
        <f>E30</f>
        <v>uM N released by PWH3a cell lysis</v>
      </c>
    </row>
    <row r="24" spans="2:27">
      <c r="I24">
        <v>1000</v>
      </c>
      <c r="J24" t="s">
        <v>437</v>
      </c>
      <c r="M24" s="12"/>
      <c r="N24" s="22">
        <f>N21/N23*100</f>
        <v>27.119773247128009</v>
      </c>
      <c r="O24" t="s">
        <v>495</v>
      </c>
    </row>
    <row r="25" spans="2:27">
      <c r="C25" t="s">
        <v>278</v>
      </c>
      <c r="D25" s="7">
        <f>D22-D23</f>
        <v>283717500000</v>
      </c>
      <c r="E25" t="s">
        <v>277</v>
      </c>
      <c r="F25">
        <f>F22</f>
        <v>9625000000</v>
      </c>
      <c r="M25" s="12"/>
      <c r="N25" s="12">
        <f>N22/N23*100</f>
        <v>25.51360463511207</v>
      </c>
      <c r="O25" t="s">
        <v>450</v>
      </c>
      <c r="Q25" s="11"/>
      <c r="R25" s="11"/>
      <c r="S25" s="11"/>
      <c r="T25" s="11"/>
      <c r="U25" s="27">
        <f>U22</f>
        <v>9.1930932762892663</v>
      </c>
      <c r="V25" s="27">
        <f>V22</f>
        <v>4.9036604905412702</v>
      </c>
      <c r="W25" s="26" t="str">
        <f>O22</f>
        <v>uM N incorporated by DC2 from Bac remin</v>
      </c>
      <c r="X25" s="25"/>
      <c r="Y25" s="25"/>
      <c r="Z25" s="25"/>
      <c r="AA25" s="11"/>
    </row>
    <row r="26" spans="2:27">
      <c r="I26">
        <f>I24-I21</f>
        <v>998.66</v>
      </c>
      <c r="J26" t="s">
        <v>485</v>
      </c>
      <c r="M26" s="12"/>
      <c r="N26" s="22">
        <f>N25+N24</f>
        <v>52.633377882240083</v>
      </c>
      <c r="O26" t="s">
        <v>496</v>
      </c>
      <c r="P26" s="11"/>
      <c r="Q26" s="11"/>
      <c r="R26" s="11"/>
      <c r="S26" s="11"/>
      <c r="T26" s="11"/>
      <c r="U26" s="27">
        <f>Z13</f>
        <v>36.032122500000007</v>
      </c>
      <c r="V26" s="27">
        <f>AA13</f>
        <v>1.2223750000000002</v>
      </c>
      <c r="W26" s="26" t="str">
        <f>O23</f>
        <v>uM N released by PWH3a cell lysis</v>
      </c>
      <c r="X26" s="25"/>
      <c r="Y26" s="25"/>
      <c r="Z26" s="25"/>
      <c r="AA26" s="11"/>
    </row>
    <row r="27" spans="2:27">
      <c r="B27" t="s">
        <v>279</v>
      </c>
      <c r="C27">
        <v>2.54</v>
      </c>
      <c r="D27" t="s">
        <v>280</v>
      </c>
      <c r="I27">
        <f>I26*0.000001</f>
        <v>9.9865999999999996E-4</v>
      </c>
      <c r="J27" t="s">
        <v>486</v>
      </c>
      <c r="M27" s="22"/>
      <c r="N27" s="22"/>
      <c r="P27" s="11"/>
      <c r="Q27" s="11"/>
      <c r="R27" s="11"/>
      <c r="S27" s="11"/>
      <c r="T27" s="11"/>
      <c r="U27" s="27">
        <f>U25/U26*100</f>
        <v>25.513604635112085</v>
      </c>
      <c r="V27" s="27">
        <f>SQRT(((V25/U25)^2)+((V26/U26)^2))*100</f>
        <v>53.448473036499102</v>
      </c>
      <c r="W27" s="26" t="str">
        <f>O25</f>
        <v>percent of N transferred via Bac</v>
      </c>
      <c r="X27" s="25"/>
      <c r="Y27" s="25"/>
      <c r="Z27" s="25"/>
      <c r="AA27" s="11"/>
    </row>
    <row r="28" spans="2:27">
      <c r="I28">
        <f>I27/D22</f>
        <v>2.5237908467661229E-15</v>
      </c>
      <c r="J28" t="s">
        <v>487</v>
      </c>
      <c r="N28" s="35">
        <f>K12-K13</f>
        <v>26.515312901091114</v>
      </c>
      <c r="O28" s="11" t="s">
        <v>514</v>
      </c>
      <c r="P28" s="11"/>
      <c r="Q28" s="11"/>
      <c r="R28" s="11"/>
      <c r="S28" s="11"/>
      <c r="T28" s="11"/>
      <c r="U28" s="11"/>
      <c r="V28" s="11"/>
      <c r="W28" s="11"/>
      <c r="X28" s="11"/>
    </row>
    <row r="29" spans="2:27">
      <c r="D29" s="7">
        <f>D25*C27</f>
        <v>720642450000</v>
      </c>
      <c r="E29" t="s">
        <v>281</v>
      </c>
      <c r="F29">
        <f>F25*C27</f>
        <v>24447500000</v>
      </c>
      <c r="I29">
        <f>I28*1000000000000000</f>
        <v>2.523790846766123</v>
      </c>
      <c r="J29" t="s">
        <v>488</v>
      </c>
      <c r="N29" s="35">
        <f>N28/K12*100</f>
        <v>74.255100519964785</v>
      </c>
      <c r="O29" s="11" t="s">
        <v>513</v>
      </c>
    </row>
    <row r="30" spans="2:27">
      <c r="D30" s="7">
        <f>D29/1000000000</f>
        <v>720.64245000000005</v>
      </c>
      <c r="E30" t="s">
        <v>282</v>
      </c>
      <c r="I30" s="33" t="s">
        <v>490</v>
      </c>
      <c r="J30" s="33"/>
      <c r="K30" s="33"/>
      <c r="N30" s="21">
        <f>N28/D32*100</f>
        <v>73.587985001691507</v>
      </c>
      <c r="O30" s="11" t="s">
        <v>515</v>
      </c>
    </row>
    <row r="31" spans="2:27">
      <c r="F31">
        <f>F29/1000000000</f>
        <v>24.447500000000002</v>
      </c>
      <c r="U31">
        <f>U18/U26</f>
        <v>0.34635725730687117</v>
      </c>
      <c r="V31">
        <f>SQRT(((V18/U18)^2)+((V26/U26)^2))</f>
        <v>0.13451585462781757</v>
      </c>
      <c r="W31" t="s">
        <v>453</v>
      </c>
    </row>
    <row r="32" spans="2:27">
      <c r="D32">
        <f>D30*(10/200)</f>
        <v>36.032122500000007</v>
      </c>
      <c r="E32" t="s">
        <v>445</v>
      </c>
      <c r="N32" s="11"/>
    </row>
    <row r="33" spans="3:21">
      <c r="F33">
        <f>F31*(10/200)</f>
        <v>1.2223750000000002</v>
      </c>
      <c r="U33" t="s">
        <v>454</v>
      </c>
    </row>
    <row r="35" spans="3:21">
      <c r="C35" s="11"/>
      <c r="D35" s="11">
        <f>D32/5</f>
        <v>7.2064245000000016</v>
      </c>
      <c r="E35" s="11"/>
      <c r="F35" s="11"/>
      <c r="G35" s="11"/>
      <c r="H35" s="11"/>
      <c r="I35" s="11"/>
    </row>
    <row r="36" spans="3:21">
      <c r="C36" s="32"/>
      <c r="D36" s="11"/>
      <c r="E36" s="11"/>
      <c r="F36" s="11"/>
      <c r="G36" s="11"/>
      <c r="H36" s="11"/>
      <c r="I36" s="11"/>
    </row>
    <row r="37" spans="3:21">
      <c r="C37" s="32"/>
      <c r="D37" s="11"/>
      <c r="E37" s="11"/>
      <c r="F37" s="11"/>
      <c r="G37" s="11"/>
      <c r="H37" s="11"/>
      <c r="I37" s="11"/>
    </row>
    <row r="38" spans="3:21">
      <c r="C38" s="11"/>
      <c r="D38" s="11"/>
      <c r="E38" s="11"/>
      <c r="F38" s="11"/>
      <c r="G38" s="11"/>
      <c r="H38" s="11"/>
      <c r="I38" s="11"/>
    </row>
    <row r="39" spans="3:21">
      <c r="C39" s="11"/>
      <c r="D39" s="11"/>
      <c r="E39" s="11"/>
      <c r="F39" s="11"/>
      <c r="G39" s="11"/>
      <c r="H39" s="11"/>
      <c r="I39" s="11"/>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6"/>
  <sheetViews>
    <sheetView workbookViewId="0">
      <selection activeCell="M22" sqref="M22"/>
    </sheetView>
  </sheetViews>
  <sheetFormatPr defaultRowHeight="15"/>
  <cols>
    <col min="9" max="10" width="12" bestFit="1" customWidth="1"/>
    <col min="11" max="11" width="10.5703125" bestFit="1" customWidth="1"/>
    <col min="12" max="12" width="10.28515625" bestFit="1" customWidth="1"/>
    <col min="13" max="13" width="11" bestFit="1" customWidth="1"/>
  </cols>
  <sheetData>
    <row r="1" spans="1:16">
      <c r="A1" s="8" t="s">
        <v>284</v>
      </c>
    </row>
    <row r="2" spans="1:16">
      <c r="A2" s="8" t="s">
        <v>285</v>
      </c>
    </row>
    <row r="5" spans="1:16">
      <c r="J5" t="s">
        <v>357</v>
      </c>
      <c r="M5" t="s">
        <v>357</v>
      </c>
    </row>
    <row r="6" spans="1:16">
      <c r="B6" s="9" t="s">
        <v>286</v>
      </c>
      <c r="C6" s="9" t="s">
        <v>287</v>
      </c>
      <c r="E6" t="s">
        <v>288</v>
      </c>
      <c r="F6" t="s">
        <v>14</v>
      </c>
      <c r="J6">
        <v>25000000</v>
      </c>
      <c r="K6" t="s">
        <v>363</v>
      </c>
      <c r="M6" t="s">
        <v>365</v>
      </c>
    </row>
    <row r="7" spans="1:16">
      <c r="A7" s="8" t="s">
        <v>289</v>
      </c>
      <c r="B7" s="10">
        <v>3.2603401869999997</v>
      </c>
      <c r="C7" s="10">
        <v>15.539860136000001</v>
      </c>
      <c r="D7" t="s">
        <v>290</v>
      </c>
      <c r="E7" s="6">
        <f>AVERAGE(B7:B8)</f>
        <v>5.2580883370000002</v>
      </c>
      <c r="F7" s="6">
        <f>AVERAGE(C7:C8)</f>
        <v>15.445118178500001</v>
      </c>
      <c r="J7">
        <v>30</v>
      </c>
      <c r="K7" t="s">
        <v>362</v>
      </c>
      <c r="M7">
        <v>15</v>
      </c>
      <c r="N7" t="s">
        <v>497</v>
      </c>
    </row>
    <row r="8" spans="1:16">
      <c r="A8" s="8" t="s">
        <v>291</v>
      </c>
      <c r="B8" s="10">
        <v>7.2558364869999998</v>
      </c>
      <c r="C8" s="10">
        <v>15.350376221000001</v>
      </c>
      <c r="J8">
        <f>J6*J7</f>
        <v>750000000</v>
      </c>
      <c r="K8" t="s">
        <v>364</v>
      </c>
    </row>
    <row r="9" spans="1:16">
      <c r="A9" s="8" t="s">
        <v>292</v>
      </c>
      <c r="B9" s="10">
        <v>87.59194875899999</v>
      </c>
      <c r="C9" s="10">
        <v>406.06620895100008</v>
      </c>
      <c r="M9" t="s">
        <v>366</v>
      </c>
    </row>
    <row r="10" spans="1:16">
      <c r="A10" s="8" t="s">
        <v>293</v>
      </c>
      <c r="B10" s="10">
        <v>87.378855622999993</v>
      </c>
      <c r="C10" s="10">
        <v>400.79855611400006</v>
      </c>
    </row>
    <row r="11" spans="1:16">
      <c r="A11" s="8" t="s">
        <v>294</v>
      </c>
      <c r="B11" s="10">
        <v>119.10309624499999</v>
      </c>
      <c r="C11" s="10">
        <v>683.77383477500007</v>
      </c>
    </row>
    <row r="12" spans="1:16">
      <c r="A12" s="8" t="s">
        <v>295</v>
      </c>
      <c r="B12" s="10">
        <v>115.82678927899998</v>
      </c>
      <c r="C12" s="10">
        <v>691.8458495540001</v>
      </c>
      <c r="M12" s="31">
        <v>395698389.26174498</v>
      </c>
      <c r="N12" s="31" t="s">
        <v>498</v>
      </c>
      <c r="O12" s="31" t="s">
        <v>499</v>
      </c>
      <c r="P12" s="31"/>
    </row>
    <row r="13" spans="1:16">
      <c r="M13" s="31">
        <f>M12*M7</f>
        <v>5935475838.9261742</v>
      </c>
      <c r="N13" s="31" t="s">
        <v>500</v>
      </c>
      <c r="O13" s="31"/>
      <c r="P13" s="31"/>
    </row>
    <row r="14" spans="1:16">
      <c r="D14" t="s">
        <v>296</v>
      </c>
    </row>
    <row r="15" spans="1:16">
      <c r="E15" t="s">
        <v>286</v>
      </c>
      <c r="F15" t="s">
        <v>287</v>
      </c>
      <c r="G15" t="s">
        <v>358</v>
      </c>
      <c r="H15" t="s">
        <v>359</v>
      </c>
      <c r="I15" t="s">
        <v>360</v>
      </c>
      <c r="J15" t="s">
        <v>361</v>
      </c>
    </row>
    <row r="16" spans="1:16">
      <c r="D16" t="s">
        <v>297</v>
      </c>
      <c r="E16" s="6">
        <f t="shared" ref="E16:F19" si="0">B9-E$7</f>
        <v>82.333860421999987</v>
      </c>
      <c r="F16" s="6">
        <f t="shared" si="0"/>
        <v>390.62109077250005</v>
      </c>
      <c r="G16">
        <f>E16/14</f>
        <v>5.8809900301428559</v>
      </c>
      <c r="H16">
        <f>F16/12</f>
        <v>32.551757564375002</v>
      </c>
      <c r="I16">
        <f>G16/$J$8*1000000000</f>
        <v>7.8413200401904746</v>
      </c>
      <c r="J16">
        <f>H16/$J$8*1000000000</f>
        <v>43.402343419166669</v>
      </c>
    </row>
    <row r="17" spans="1:10">
      <c r="D17" t="s">
        <v>298</v>
      </c>
      <c r="E17" s="6">
        <f t="shared" si="0"/>
        <v>82.120767285999989</v>
      </c>
      <c r="F17" s="6">
        <f t="shared" si="0"/>
        <v>385.35343793550004</v>
      </c>
      <c r="G17">
        <f t="shared" ref="G17:G19" si="1">E17/14</f>
        <v>5.8657690918571417</v>
      </c>
      <c r="H17">
        <f t="shared" ref="H17:H19" si="2">F17/12</f>
        <v>32.112786494625006</v>
      </c>
      <c r="I17">
        <f>G17/$J$8*1000000000</f>
        <v>7.8210254558095231</v>
      </c>
      <c r="J17">
        <f>H17/$J$8*1000000000</f>
        <v>42.817048659500003</v>
      </c>
    </row>
    <row r="18" spans="1:10">
      <c r="D18" t="s">
        <v>299</v>
      </c>
      <c r="E18" s="6">
        <f t="shared" si="0"/>
        <v>113.84500790799999</v>
      </c>
      <c r="F18" s="6">
        <f t="shared" si="0"/>
        <v>668.32871659650004</v>
      </c>
      <c r="G18">
        <f t="shared" si="1"/>
        <v>8.1317862791428563</v>
      </c>
      <c r="H18">
        <f t="shared" si="2"/>
        <v>55.694059716375001</v>
      </c>
      <c r="I18" s="31">
        <f>G18/$M$13*1000000000</f>
        <v>1.3700310640324382</v>
      </c>
      <c r="J18" s="31">
        <f>H18/$M$13*1000000000</f>
        <v>9.3832510194247511</v>
      </c>
    </row>
    <row r="19" spans="1:10">
      <c r="D19" t="s">
        <v>300</v>
      </c>
      <c r="E19" s="6">
        <f t="shared" si="0"/>
        <v>110.56870094199998</v>
      </c>
      <c r="F19" s="6">
        <f t="shared" si="0"/>
        <v>676.40073137550007</v>
      </c>
      <c r="G19">
        <f t="shared" si="1"/>
        <v>7.8977643529999986</v>
      </c>
      <c r="H19">
        <f t="shared" si="2"/>
        <v>56.366727614625006</v>
      </c>
      <c r="I19" s="31">
        <f>G19/$M$13*1000000000</f>
        <v>1.3306034035560719</v>
      </c>
      <c r="J19" s="31">
        <f>H19/$M$13*1000000000</f>
        <v>9.496581090425714</v>
      </c>
    </row>
    <row r="21" spans="1:10">
      <c r="H21" t="s">
        <v>93</v>
      </c>
      <c r="I21">
        <f>AVERAGE(I16:I17)</f>
        <v>7.8311727479999984</v>
      </c>
    </row>
    <row r="22" spans="1:10">
      <c r="H22" t="s">
        <v>501</v>
      </c>
      <c r="I22">
        <f>I16-I17</f>
        <v>2.0294584380951441E-2</v>
      </c>
    </row>
    <row r="23" spans="1:10">
      <c r="A23" s="11"/>
      <c r="B23" s="11"/>
      <c r="C23" s="11"/>
      <c r="D23" s="11"/>
      <c r="E23" s="11"/>
      <c r="F23" s="11"/>
      <c r="G23" s="11"/>
      <c r="H23" s="31" t="s">
        <v>457</v>
      </c>
      <c r="I23" s="31">
        <f>AVERAGE(I18:I19)</f>
        <v>1.3503172337942551</v>
      </c>
    </row>
    <row r="24" spans="1:10">
      <c r="H24" s="31" t="s">
        <v>501</v>
      </c>
      <c r="I24" s="31">
        <f>I18-I19</f>
        <v>3.9427660476366366E-2</v>
      </c>
    </row>
    <row r="25" spans="1:10">
      <c r="D25" s="11"/>
    </row>
    <row r="26" spans="1:10">
      <c r="D26" s="11" t="s">
        <v>446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3:Z78"/>
  <sheetViews>
    <sheetView workbookViewId="0">
      <selection activeCell="I28" sqref="I28"/>
    </sheetView>
  </sheetViews>
  <sheetFormatPr defaultRowHeight="15"/>
  <cols>
    <col min="3" max="3" width="13.7109375" bestFit="1" customWidth="1"/>
    <col min="4" max="4" width="15.7109375" bestFit="1" customWidth="1"/>
    <col min="6" max="6" width="12" bestFit="1" customWidth="1"/>
    <col min="8" max="8" width="9.140625" customWidth="1"/>
    <col min="21" max="21" width="13.7109375" bestFit="1" customWidth="1"/>
  </cols>
  <sheetData>
    <row r="3" spans="2:9">
      <c r="F3">
        <v>7.83</v>
      </c>
      <c r="G3" t="s">
        <v>434</v>
      </c>
    </row>
    <row r="4" spans="2:9">
      <c r="F4">
        <v>0.41399999999999998</v>
      </c>
      <c r="G4" t="s">
        <v>438</v>
      </c>
      <c r="I4" t="s">
        <v>439</v>
      </c>
    </row>
    <row r="7" spans="2:9">
      <c r="F7">
        <f>QuotaCalcs!D30</f>
        <v>720.64245000000005</v>
      </c>
      <c r="G7" t="s">
        <v>435</v>
      </c>
    </row>
    <row r="10" spans="2:9">
      <c r="C10" t="s">
        <v>270</v>
      </c>
      <c r="D10" t="s">
        <v>270</v>
      </c>
      <c r="E10" t="s">
        <v>270</v>
      </c>
      <c r="F10" t="s">
        <v>270</v>
      </c>
      <c r="G10" t="s">
        <v>270</v>
      </c>
      <c r="H10" t="s">
        <v>436</v>
      </c>
    </row>
    <row r="11" spans="2:9">
      <c r="C11" t="s">
        <v>93</v>
      </c>
      <c r="D11" t="s">
        <v>94</v>
      </c>
      <c r="E11" t="s">
        <v>431</v>
      </c>
      <c r="F11" t="s">
        <v>432</v>
      </c>
      <c r="G11" t="s">
        <v>433</v>
      </c>
      <c r="H11" t="s">
        <v>437</v>
      </c>
    </row>
    <row r="12" spans="2:9">
      <c r="B12" t="s">
        <v>91</v>
      </c>
      <c r="C12" s="20">
        <f>'DC2'!T19*100000*1000</f>
        <v>4560460559.0524111</v>
      </c>
      <c r="D12" s="20">
        <f>Bac!AO43*100000*1000</f>
        <v>1178982895.6228957</v>
      </c>
      <c r="E12">
        <f>'NH4'!V28</f>
        <v>-0.73918550992762955</v>
      </c>
      <c r="F12">
        <f>C12*$F$3*0.000000001</f>
        <v>35.708406177380382</v>
      </c>
      <c r="G12">
        <f>D12*$F$4*0.000000001</f>
        <v>0.48809891878787887</v>
      </c>
      <c r="H12">
        <f>SUM(E12:G12)</f>
        <v>35.457319586240629</v>
      </c>
      <c r="I12" s="21">
        <f>H12-H13-H17</f>
        <v>10.748384290125188</v>
      </c>
    </row>
    <row r="13" spans="2:9">
      <c r="B13" t="s">
        <v>90</v>
      </c>
      <c r="C13" s="20">
        <f>'DC2'!T20*100000*1000</f>
        <v>2138375859.8931963</v>
      </c>
      <c r="D13" s="20">
        <f>Bac!AO44*100000*1000</f>
        <v>436370235.69023573</v>
      </c>
      <c r="E13">
        <f>'NH4'!V29</f>
        <v>-0.11316586279632115</v>
      </c>
      <c r="F13">
        <f t="shared" ref="F13:F15" si="0">C13*$F$3*0.000000001</f>
        <v>16.74348298296373</v>
      </c>
      <c r="G13">
        <f t="shared" ref="G13:G17" si="1">D13*$F$4*0.000000001</f>
        <v>0.18065727757575761</v>
      </c>
      <c r="H13">
        <f t="shared" ref="H13:H17" si="2">SUM(E13:G13)</f>
        <v>16.810974397743166</v>
      </c>
      <c r="I13" s="21">
        <f>H13+H14</f>
        <v>26.050510405238384</v>
      </c>
    </row>
    <row r="14" spans="2:9">
      <c r="B14" t="s">
        <v>92</v>
      </c>
      <c r="C14" s="20">
        <f>'DC2'!T21*100000*1000</f>
        <v>1247998712.4045205</v>
      </c>
      <c r="D14" s="20">
        <f>Bac!AO45*100000*1000</f>
        <v>860287272.72727251</v>
      </c>
      <c r="E14">
        <f>'NH4'!V30</f>
        <v>-0.88845284154127124</v>
      </c>
      <c r="F14">
        <f t="shared" si="0"/>
        <v>9.7718299181273967</v>
      </c>
      <c r="G14">
        <f t="shared" si="1"/>
        <v>0.35615893090909084</v>
      </c>
      <c r="H14">
        <f t="shared" si="2"/>
        <v>9.2395360074952162</v>
      </c>
    </row>
    <row r="15" spans="2:9">
      <c r="B15" t="s">
        <v>93</v>
      </c>
      <c r="C15" s="20">
        <f>'DC2'!T22*100000*1000</f>
        <v>-71973765.883336693</v>
      </c>
      <c r="D15" s="20">
        <f>Bac!AO46*100000*1000</f>
        <v>254376700.33670032</v>
      </c>
      <c r="E15">
        <f>'NH4'!V31</f>
        <v>-0.30992304944077348</v>
      </c>
      <c r="F15">
        <f t="shared" si="0"/>
        <v>-0.56355458686652637</v>
      </c>
      <c r="G15">
        <f t="shared" si="1"/>
        <v>0.10531195393939392</v>
      </c>
      <c r="H15">
        <f t="shared" si="2"/>
        <v>-0.76816568236790583</v>
      </c>
    </row>
    <row r="16" spans="2:9">
      <c r="B16" t="s">
        <v>94</v>
      </c>
      <c r="C16" s="20"/>
      <c r="D16" s="20">
        <f>Bac!AO47*100000*1000</f>
        <v>71832727.272727281</v>
      </c>
      <c r="E16">
        <f>'NH4'!V32</f>
        <v>-0.28459376916023926</v>
      </c>
      <c r="G16">
        <f t="shared" si="1"/>
        <v>2.9738749090909095E-2</v>
      </c>
      <c r="H16">
        <f t="shared" si="2"/>
        <v>-0.25485502006933014</v>
      </c>
    </row>
    <row r="17" spans="2:24">
      <c r="B17" t="s">
        <v>95</v>
      </c>
      <c r="C17" s="20"/>
      <c r="D17" s="20">
        <f>Bac!AO48*100000*1000</f>
        <v>1273440808.0808079</v>
      </c>
      <c r="E17">
        <f>'NH4'!V33</f>
        <v>7.370756403826821</v>
      </c>
      <c r="G17">
        <f t="shared" si="1"/>
        <v>0.52720449454545448</v>
      </c>
      <c r="H17">
        <f t="shared" si="2"/>
        <v>7.8979608983722756</v>
      </c>
    </row>
    <row r="22" spans="2:24" ht="18">
      <c r="G22" t="s">
        <v>507</v>
      </c>
      <c r="H22" t="s">
        <v>506</v>
      </c>
      <c r="I22" t="s">
        <v>505</v>
      </c>
      <c r="J22" t="s">
        <v>510</v>
      </c>
      <c r="T22" t="s">
        <v>469</v>
      </c>
      <c r="U22" t="str">
        <f>G22</f>
        <v>DC2-N (DC2+Bac+Lys)</v>
      </c>
      <c r="V22" t="str">
        <f t="shared" ref="V22:X22" si="3">H22</f>
        <v>DC2-N (NO3 in DC2+Bac)</v>
      </c>
      <c r="W22" t="str">
        <f t="shared" si="3"/>
        <v>DC2-N (DC2+Lys)</v>
      </c>
      <c r="X22" t="str">
        <f t="shared" si="3"/>
        <v>Ammonium (Bac+Lys)</v>
      </c>
    </row>
    <row r="23" spans="2:24">
      <c r="G23">
        <f>H12</f>
        <v>35.457319586240629</v>
      </c>
      <c r="U23">
        <f t="shared" ref="U23" si="4">G23</f>
        <v>35.457319586240629</v>
      </c>
    </row>
    <row r="24" spans="2:24">
      <c r="H24">
        <f>H13</f>
        <v>16.810974397743166</v>
      </c>
      <c r="I24">
        <f>H14</f>
        <v>9.2395360074952162</v>
      </c>
      <c r="J24">
        <f>H17</f>
        <v>7.8979608983722756</v>
      </c>
      <c r="V24">
        <f t="shared" ref="V24" si="5">H24</f>
        <v>16.810974397743166</v>
      </c>
      <c r="W24">
        <f t="shared" ref="W24" si="6">I24</f>
        <v>9.2395360074952162</v>
      </c>
      <c r="X24">
        <f t="shared" ref="X24" si="7">J24</f>
        <v>7.8979608983722756</v>
      </c>
    </row>
    <row r="25" spans="2:24">
      <c r="T25">
        <v>34.506</v>
      </c>
    </row>
    <row r="27" spans="2:24">
      <c r="J27">
        <f>SUM(H24:J24)</f>
        <v>33.94847130361066</v>
      </c>
      <c r="S27" t="s">
        <v>11</v>
      </c>
      <c r="T27">
        <v>2.4609999999999999</v>
      </c>
      <c r="U27">
        <v>3.69</v>
      </c>
      <c r="V27">
        <v>2.9</v>
      </c>
      <c r="W27">
        <v>1.33</v>
      </c>
      <c r="X27">
        <v>0.1</v>
      </c>
    </row>
    <row r="29" spans="2:24">
      <c r="V29">
        <f>SUM(V24:X24)</f>
        <v>33.94847130361066</v>
      </c>
    </row>
    <row r="30" spans="2:24">
      <c r="V30">
        <f>SQRT((V27^2)+(W27^2)+(X27^2))</f>
        <v>3.1920056390927631</v>
      </c>
    </row>
    <row r="39" spans="2:21">
      <c r="O39" t="s">
        <v>504</v>
      </c>
      <c r="P39" t="s">
        <v>11</v>
      </c>
    </row>
    <row r="40" spans="2:21">
      <c r="B40" s="21" t="s">
        <v>440</v>
      </c>
      <c r="N40" s="21" t="str">
        <f>K45</f>
        <v>DC2+Bac+Lys</v>
      </c>
      <c r="O40" s="21">
        <f>L45</f>
        <v>39.850209855331542</v>
      </c>
      <c r="P40" s="21">
        <f>M45</f>
        <v>2.1290277526005457</v>
      </c>
    </row>
    <row r="41" spans="2:21">
      <c r="N41" s="21" t="s">
        <v>503</v>
      </c>
      <c r="O41" s="21">
        <f>SUM(L46,L47,L50)</f>
        <v>43.524657630883382</v>
      </c>
      <c r="P41" s="21">
        <f>SQRT((M46^2)+(M47^2)+(M50^2))</f>
        <v>1.8441000288594427</v>
      </c>
    </row>
    <row r="43" spans="2:21">
      <c r="C43" t="s">
        <v>270</v>
      </c>
      <c r="D43" t="s">
        <v>270</v>
      </c>
      <c r="E43" t="s">
        <v>270</v>
      </c>
      <c r="F43" t="s">
        <v>270</v>
      </c>
      <c r="G43" t="s">
        <v>270</v>
      </c>
      <c r="H43" t="s">
        <v>436</v>
      </c>
    </row>
    <row r="44" spans="2:21">
      <c r="C44" t="s">
        <v>93</v>
      </c>
      <c r="D44" t="s">
        <v>94</v>
      </c>
      <c r="E44" t="s">
        <v>431</v>
      </c>
      <c r="F44" t="s">
        <v>432</v>
      </c>
      <c r="G44" t="s">
        <v>433</v>
      </c>
      <c r="H44" t="s">
        <v>437</v>
      </c>
      <c r="L44" t="s">
        <v>0</v>
      </c>
      <c r="M44" t="s">
        <v>11</v>
      </c>
      <c r="P44" t="str">
        <f t="shared" ref="P44:Q47" si="8">L44</f>
        <v>Average</v>
      </c>
      <c r="Q44" t="str">
        <f t="shared" si="8"/>
        <v>StDev</v>
      </c>
      <c r="T44" t="s">
        <v>0</v>
      </c>
      <c r="U44" t="s">
        <v>11</v>
      </c>
    </row>
    <row r="45" spans="2:21">
      <c r="B45" t="s">
        <v>1</v>
      </c>
      <c r="C45" s="6">
        <f>'DC2'!T5*100000*1000</f>
        <v>4336462164.6993647</v>
      </c>
      <c r="D45" s="6">
        <f>Bac!AO22*100000*1000</f>
        <v>11989842424.242426</v>
      </c>
      <c r="E45">
        <f>'NH4'!N22</f>
        <v>-0.82746301143161205</v>
      </c>
      <c r="F45">
        <f>C45*$F$3*0.000000001</f>
        <v>33.954498749596027</v>
      </c>
      <c r="G45">
        <f>D45*$F$4*0.000000001</f>
        <v>4.963794763636364</v>
      </c>
      <c r="H45">
        <f>SUM(E45:G45)</f>
        <v>38.090830501800781</v>
      </c>
      <c r="K45" t="s">
        <v>91</v>
      </c>
      <c r="L45">
        <f>AVERAGE(H45:H47)</f>
        <v>39.850209855331542</v>
      </c>
      <c r="M45">
        <f>STDEV(H45:H47)/(SQRT(3))</f>
        <v>2.1290277526005457</v>
      </c>
      <c r="O45" t="str">
        <f>K45</f>
        <v>DC2+Bac+Lys</v>
      </c>
      <c r="P45">
        <f t="shared" si="8"/>
        <v>39.850209855331542</v>
      </c>
      <c r="Q45">
        <f t="shared" si="8"/>
        <v>2.1290277526005457</v>
      </c>
      <c r="S45" t="s">
        <v>91</v>
      </c>
      <c r="T45">
        <f>P45</f>
        <v>39.850209855331542</v>
      </c>
      <c r="U45">
        <f>Q45</f>
        <v>2.1290277526005457</v>
      </c>
    </row>
    <row r="46" spans="2:21">
      <c r="B46" t="s">
        <v>2</v>
      </c>
      <c r="C46" s="6">
        <f>'DC2'!T6*100000*1000</f>
        <v>4243497129.841949</v>
      </c>
      <c r="D46" s="6">
        <f>Bac!AO23*100000*1000</f>
        <v>11580331313.131313</v>
      </c>
      <c r="E46">
        <f>'NH4'!N23</f>
        <v>-0.64902230904443159</v>
      </c>
      <c r="F46">
        <f t="shared" ref="F46:F56" si="9">C46*$F$3*0.000000001</f>
        <v>33.226582526662462</v>
      </c>
      <c r="G46">
        <f t="shared" ref="G46:G62" si="10">D46*$F$4*0.000000001</f>
        <v>4.7942571636363631</v>
      </c>
      <c r="H46">
        <f t="shared" ref="H46:H62" si="11">SUM(E46:G46)</f>
        <v>37.371817381254388</v>
      </c>
      <c r="K46" t="s">
        <v>90</v>
      </c>
      <c r="L46">
        <f>AVERAGE(H48:H50)</f>
        <v>18.436889895924981</v>
      </c>
      <c r="M46">
        <f>STDEV(H48:H50)/(SQRT(3))</f>
        <v>1.6756448418081689</v>
      </c>
      <c r="O46" t="str">
        <f>K46</f>
        <v>DC2+Bac</v>
      </c>
      <c r="P46">
        <f t="shared" si="8"/>
        <v>18.436889895924981</v>
      </c>
      <c r="Q46">
        <f t="shared" si="8"/>
        <v>1.6756448418081689</v>
      </c>
      <c r="S46" t="s">
        <v>451</v>
      </c>
      <c r="T46">
        <f>SUM(P46:P48)</f>
        <v>43.524657630883382</v>
      </c>
      <c r="U46">
        <f>SQRT((Q46^2)+(Q47^2)+(Q48^2))</f>
        <v>1.8441000288594427</v>
      </c>
    </row>
    <row r="47" spans="2:21">
      <c r="B47" t="s">
        <v>3</v>
      </c>
      <c r="C47" s="6">
        <f>'DC2'!T7*100000*1000</f>
        <v>5101422382.615922</v>
      </c>
      <c r="D47" s="6">
        <f>Bac!AO24*100000*1000</f>
        <v>11799313131.313129</v>
      </c>
      <c r="E47">
        <f>'NH4'!N24</f>
        <v>-0.74107120930684489</v>
      </c>
      <c r="F47">
        <f t="shared" si="9"/>
        <v>39.944137255882673</v>
      </c>
      <c r="G47">
        <f t="shared" si="10"/>
        <v>4.884915636363635</v>
      </c>
      <c r="H47">
        <f t="shared" si="11"/>
        <v>44.087981682939464</v>
      </c>
      <c r="K47" t="s">
        <v>92</v>
      </c>
      <c r="L47">
        <f>AVERAGE(H51:H53)</f>
        <v>12.444966385677034</v>
      </c>
      <c r="M47">
        <f>STDEV(H51:H53)/(SQRT(3))</f>
        <v>0.76784340118669203</v>
      </c>
      <c r="O47" t="str">
        <f>K47</f>
        <v>DC2+Lys</v>
      </c>
      <c r="P47">
        <f t="shared" si="8"/>
        <v>12.444966385677034</v>
      </c>
      <c r="Q47">
        <f t="shared" si="8"/>
        <v>0.76784340118669203</v>
      </c>
    </row>
    <row r="48" spans="2:21">
      <c r="B48" t="s">
        <v>6</v>
      </c>
      <c r="C48" s="6">
        <f>'DC2'!T8*100000*1000</f>
        <v>1797805444.836024</v>
      </c>
      <c r="D48" s="6">
        <f>Bac!AO25*100000*1000</f>
        <v>4280064646.4646478</v>
      </c>
      <c r="E48">
        <f>'NH4'!N25</f>
        <v>1.5154150438653174E-2</v>
      </c>
      <c r="F48">
        <f t="shared" si="9"/>
        <v>14.07681663306607</v>
      </c>
      <c r="G48">
        <f t="shared" si="10"/>
        <v>1.7719467636363642</v>
      </c>
      <c r="H48">
        <f t="shared" si="11"/>
        <v>15.863917547141087</v>
      </c>
      <c r="K48" t="s">
        <v>93</v>
      </c>
      <c r="L48">
        <f>AVERAGE(H54:H56)</f>
        <v>0.17964190308663999</v>
      </c>
      <c r="M48">
        <f>STDEV(H54:H56)/(SQRT(3))</f>
        <v>0.42712741832457252</v>
      </c>
      <c r="O48" t="str">
        <f>K50</f>
        <v>Bac+Lys</v>
      </c>
      <c r="P48">
        <f>L50</f>
        <v>12.642801349281365</v>
      </c>
      <c r="Q48">
        <f>M50</f>
        <v>5.7756314071508157E-2</v>
      </c>
      <c r="S48" t="s">
        <v>461</v>
      </c>
    </row>
    <row r="49" spans="2:26">
      <c r="B49" t="s">
        <v>10</v>
      </c>
      <c r="C49" s="6">
        <f>'DC2'!T9*100000*1000</f>
        <v>2069522076.3631325</v>
      </c>
      <c r="D49" s="6">
        <f>Bac!AO26*100000*1000</f>
        <v>4401098989.8989916</v>
      </c>
      <c r="E49">
        <f>'NH4'!N26</f>
        <v>-0.16266492497883225</v>
      </c>
      <c r="F49">
        <f t="shared" si="9"/>
        <v>16.204357857923327</v>
      </c>
      <c r="G49">
        <f t="shared" si="10"/>
        <v>1.8220549818181826</v>
      </c>
      <c r="H49">
        <f t="shared" si="11"/>
        <v>17.86374791476268</v>
      </c>
      <c r="K49" t="s">
        <v>94</v>
      </c>
      <c r="L49">
        <f>AVERAGE(H57:H59)</f>
        <v>1.2793721748851581E-2</v>
      </c>
      <c r="M49">
        <f>STDEV(H57:H59)/(SQRT(3))</f>
        <v>5.5650776336146041E-2</v>
      </c>
    </row>
    <row r="50" spans="2:26">
      <c r="B50" t="s">
        <v>23</v>
      </c>
      <c r="C50" s="6">
        <f>'DC2'!T10*100000*1000</f>
        <v>2547800058.480432</v>
      </c>
      <c r="D50" s="6">
        <f>Bac!AO27*100000*1000</f>
        <v>4409943434.3434343</v>
      </c>
      <c r="E50">
        <f>'NH4'!N27</f>
        <v>-0.19198681384878438</v>
      </c>
      <c r="F50">
        <f t="shared" si="9"/>
        <v>19.949274457901783</v>
      </c>
      <c r="G50">
        <f t="shared" si="10"/>
        <v>1.825716581818182</v>
      </c>
      <c r="H50">
        <f t="shared" si="11"/>
        <v>21.583004225871179</v>
      </c>
      <c r="K50" t="s">
        <v>95</v>
      </c>
      <c r="L50">
        <f>AVERAGE(H60:H62)</f>
        <v>12.642801349281365</v>
      </c>
      <c r="M50">
        <f>STDEV(H60:H62)/(SQRT(3))</f>
        <v>5.7756314071508157E-2</v>
      </c>
    </row>
    <row r="51" spans="2:26">
      <c r="B51" t="s">
        <v>7</v>
      </c>
      <c r="C51" s="6">
        <f>'DC2'!T11*100000*1000</f>
        <v>1118947660.0132349</v>
      </c>
      <c r="D51" s="6">
        <f>Bac!AO28*100000*1000</f>
        <v>8790109090.9090919</v>
      </c>
      <c r="E51">
        <f>'NH4'!N28</f>
        <v>-0.83693938982092619</v>
      </c>
      <c r="F51">
        <f t="shared" si="9"/>
        <v>8.7613601779036294</v>
      </c>
      <c r="G51">
        <f t="shared" si="10"/>
        <v>3.6391051636363643</v>
      </c>
      <c r="H51">
        <f t="shared" si="11"/>
        <v>11.563525951719068</v>
      </c>
    </row>
    <row r="52" spans="2:26">
      <c r="B52" t="s">
        <v>9</v>
      </c>
      <c r="C52" s="6">
        <f>'DC2'!T12*100000*1000</f>
        <v>1430418673.7253573</v>
      </c>
      <c r="D52" s="6">
        <f>Bac!AO29*100000*1000</f>
        <v>8821284848.4848461</v>
      </c>
      <c r="E52">
        <f>'NH4'!N29</f>
        <v>-0.87744544351314291</v>
      </c>
      <c r="F52">
        <f t="shared" si="9"/>
        <v>11.200178215269549</v>
      </c>
      <c r="G52">
        <f t="shared" si="10"/>
        <v>3.6520119272727265</v>
      </c>
      <c r="H52">
        <f t="shared" si="11"/>
        <v>13.974744699029133</v>
      </c>
    </row>
    <row r="53" spans="2:26">
      <c r="B53" t="s">
        <v>24</v>
      </c>
      <c r="C53" s="6">
        <f>'DC2'!T13*100000*1000</f>
        <v>1194629803.4749687</v>
      </c>
      <c r="D53" s="6">
        <f>Bac!AO30*100000*1000</f>
        <v>8197224242.4242439</v>
      </c>
      <c r="E53">
        <f>'NH4'!N30</f>
        <v>-0.95097369128974452</v>
      </c>
      <c r="F53">
        <f t="shared" si="9"/>
        <v>9.3539513612090062</v>
      </c>
      <c r="G53">
        <f t="shared" si="10"/>
        <v>3.3936508363636371</v>
      </c>
      <c r="H53">
        <f t="shared" si="11"/>
        <v>11.796628506282898</v>
      </c>
    </row>
    <row r="54" spans="2:26">
      <c r="B54" t="s">
        <v>4</v>
      </c>
      <c r="C54" s="6">
        <f>'DC2'!T14*100000*1000</f>
        <v>-31442081.28780077</v>
      </c>
      <c r="D54" s="6">
        <f>Bac!AO31*100000*1000</f>
        <v>2807410101.0101008</v>
      </c>
      <c r="E54">
        <f>'NH4'!N31</f>
        <v>-0.27674929896877176</v>
      </c>
      <c r="F54">
        <f t="shared" si="9"/>
        <v>-0.24619149648348004</v>
      </c>
      <c r="G54">
        <f t="shared" si="10"/>
        <v>1.1622677818181819</v>
      </c>
      <c r="H54">
        <f t="shared" si="11"/>
        <v>0.63932698636593011</v>
      </c>
      <c r="T54" t="s">
        <v>455</v>
      </c>
    </row>
    <row r="55" spans="2:26">
      <c r="B55" t="s">
        <v>5</v>
      </c>
      <c r="C55" s="6">
        <f>'DC2'!T15*100000*1000</f>
        <v>-142594145.80095112</v>
      </c>
      <c r="D55" s="6">
        <f>Bac!AO32*100000*1000</f>
        <v>1906149494.9494944</v>
      </c>
      <c r="E55">
        <f>'NH4'!N32</f>
        <v>-0.34639728576611895</v>
      </c>
      <c r="F55">
        <f t="shared" si="9"/>
        <v>-1.1165121616214473</v>
      </c>
      <c r="G55">
        <f t="shared" si="10"/>
        <v>0.78914589090909071</v>
      </c>
      <c r="H55">
        <f t="shared" si="11"/>
        <v>-0.67376355647847563</v>
      </c>
      <c r="T55" t="s">
        <v>431</v>
      </c>
      <c r="U55" t="s">
        <v>93</v>
      </c>
      <c r="V55" t="s">
        <v>94</v>
      </c>
      <c r="W55" t="s">
        <v>456</v>
      </c>
      <c r="X55" t="s">
        <v>457</v>
      </c>
      <c r="Y55" t="s">
        <v>460</v>
      </c>
    </row>
    <row r="56" spans="2:26">
      <c r="B56" t="s">
        <v>22</v>
      </c>
      <c r="C56" s="6">
        <f>'DC2'!T16*100000*1000</f>
        <v>-41885070.561258078</v>
      </c>
      <c r="D56" s="6">
        <f>Bac!AO33*100000*1000</f>
        <v>2917741414.1414142</v>
      </c>
      <c r="E56">
        <f>'NH4'!N33</f>
        <v>-0.30662256358742945</v>
      </c>
      <c r="F56">
        <f t="shared" si="9"/>
        <v>-0.32796010249465074</v>
      </c>
      <c r="G56">
        <f t="shared" si="10"/>
        <v>1.2079449454545457</v>
      </c>
      <c r="H56">
        <f t="shared" si="11"/>
        <v>0.57336227937246553</v>
      </c>
      <c r="S56" t="str">
        <f>K45</f>
        <v>DC2+Bac+Lys</v>
      </c>
      <c r="T56">
        <f>'NH4'!P28</f>
        <v>0.8841784493019863</v>
      </c>
      <c r="U56" s="6">
        <f>'DC2'!N19*100000000*$F$3/1000000000</f>
        <v>5.9734392265193366</v>
      </c>
      <c r="V56" s="6">
        <f>Bac!AI43*100000000*$F$4/1000000000</f>
        <v>7.6091917575757562E-2</v>
      </c>
      <c r="W56" s="28" t="s">
        <v>458</v>
      </c>
      <c r="X56">
        <v>7.66</v>
      </c>
      <c r="Y56">
        <f>SUM(T56:V56,X56)</f>
        <v>14.59370959339708</v>
      </c>
      <c r="Z56" t="s">
        <v>459</v>
      </c>
    </row>
    <row r="57" spans="2:26">
      <c r="B57" t="s">
        <v>84</v>
      </c>
      <c r="C57" s="6"/>
      <c r="D57" s="6">
        <f>Bac!AO34*100000*1000</f>
        <v>903987878.78787875</v>
      </c>
      <c r="E57">
        <f>'NH4'!N34</f>
        <v>-0.46042067902847172</v>
      </c>
      <c r="G57">
        <f t="shared" si="10"/>
        <v>0.37425098181818184</v>
      </c>
      <c r="H57">
        <f t="shared" si="11"/>
        <v>-8.6169697210289886E-2</v>
      </c>
      <c r="S57" t="str">
        <f>K46</f>
        <v>DC2+Bac</v>
      </c>
      <c r="T57">
        <f>'NH4'!P29</f>
        <v>0.24547361033706935</v>
      </c>
      <c r="U57" s="6">
        <f>'DC2'!N20*100000000*$F$3/1000000000</f>
        <v>6.2037969613259651</v>
      </c>
      <c r="V57" s="6">
        <f>Bac!AI44*100000000*$F$4/1000000000</f>
        <v>8.2412150303030299E-2</v>
      </c>
      <c r="W57" s="28" t="s">
        <v>458</v>
      </c>
      <c r="X57">
        <v>7.66</v>
      </c>
      <c r="Y57">
        <f t="shared" ref="Y57:Y59" si="12">SUM(T57:V57,X57)</f>
        <v>14.191682721966064</v>
      </c>
      <c r="Z57" t="s">
        <v>459</v>
      </c>
    </row>
    <row r="58" spans="2:26">
      <c r="B58" t="s">
        <v>85</v>
      </c>
      <c r="C58" s="6"/>
      <c r="D58" s="6">
        <f>Bac!AO35*100000*1000</f>
        <v>615915151.51515162</v>
      </c>
      <c r="E58">
        <f>'NH4'!N35</f>
        <v>-0.14860326125227546</v>
      </c>
      <c r="G58">
        <f t="shared" si="10"/>
        <v>0.25498887272727278</v>
      </c>
      <c r="H58">
        <f t="shared" si="11"/>
        <v>0.10638561147499731</v>
      </c>
      <c r="S58" t="str">
        <f>K47</f>
        <v>DC2+Lys</v>
      </c>
      <c r="T58">
        <f>'NH4'!P30</f>
        <v>1.013460620196641</v>
      </c>
      <c r="U58" s="6">
        <f>'DC2'!N21*100000000*$F$3/1000000000</f>
        <v>5.9983135359116009</v>
      </c>
      <c r="V58" s="6">
        <f>Bac!AI45*100000000*$F$4/1000000000</f>
        <v>6.7368923636363626E-2</v>
      </c>
      <c r="W58" s="28">
        <v>0</v>
      </c>
      <c r="X58">
        <v>7.66</v>
      </c>
      <c r="Y58">
        <f t="shared" si="12"/>
        <v>14.739143079744606</v>
      </c>
    </row>
    <row r="59" spans="2:26">
      <c r="B59" t="s">
        <v>86</v>
      </c>
      <c r="C59" s="6"/>
      <c r="D59" s="6">
        <f>Bac!AO36*100000*1000</f>
        <v>635078787.87878764</v>
      </c>
      <c r="E59">
        <f>'NH4'!N36</f>
        <v>-0.24475736719997074</v>
      </c>
      <c r="G59">
        <f t="shared" si="10"/>
        <v>0.26292261818181806</v>
      </c>
      <c r="H59">
        <f t="shared" si="11"/>
        <v>1.816525098184732E-2</v>
      </c>
      <c r="S59" t="str">
        <f>K50</f>
        <v>Bac+Lys</v>
      </c>
      <c r="T59">
        <f>'NH4'!P33</f>
        <v>0.86807838118631342</v>
      </c>
      <c r="U59">
        <v>0</v>
      </c>
      <c r="V59" s="6">
        <f>Bac!AI48*100000000*$F$4/1000000000</f>
        <v>1.7590734545454543E-2</v>
      </c>
      <c r="W59" s="28" t="s">
        <v>458</v>
      </c>
      <c r="X59">
        <v>7.66</v>
      </c>
      <c r="Y59">
        <f t="shared" si="12"/>
        <v>8.5456691157317675</v>
      </c>
      <c r="Z59" t="s">
        <v>459</v>
      </c>
    </row>
    <row r="60" spans="2:26">
      <c r="B60" t="s">
        <v>87</v>
      </c>
      <c r="C60" s="6"/>
      <c r="D60" s="6">
        <f>Bac!AO37*100000*1000</f>
        <v>12483975757.57576</v>
      </c>
      <c r="E60">
        <f>'NH4'!N37</f>
        <v>7.3688080117516863</v>
      </c>
      <c r="G60">
        <f t="shared" si="10"/>
        <v>5.1683659636363641</v>
      </c>
      <c r="H60">
        <f t="shared" si="11"/>
        <v>12.53717397538805</v>
      </c>
      <c r="V60" s="6"/>
    </row>
    <row r="61" spans="2:26">
      <c r="B61" t="s">
        <v>88</v>
      </c>
      <c r="C61" s="6"/>
      <c r="D61" s="6">
        <f>Bac!AO38*100000*1000</f>
        <v>12715587878.787876</v>
      </c>
      <c r="E61">
        <f>'NH4'!N38</f>
        <v>7.3908706818519843</v>
      </c>
      <c r="G61">
        <f t="shared" si="10"/>
        <v>5.2642533818181807</v>
      </c>
      <c r="H61">
        <f t="shared" si="11"/>
        <v>12.655124063670165</v>
      </c>
    </row>
    <row r="62" spans="2:26">
      <c r="B62" t="s">
        <v>89</v>
      </c>
      <c r="C62" s="6"/>
      <c r="D62" s="6">
        <f>Bac!AO39*100000*1000</f>
        <v>13003660606.060604</v>
      </c>
      <c r="E62">
        <f>'NH4'!N39</f>
        <v>7.3525905178767932</v>
      </c>
      <c r="G62">
        <f t="shared" si="10"/>
        <v>5.3835154909090903</v>
      </c>
      <c r="H62">
        <f t="shared" si="11"/>
        <v>12.736106008785884</v>
      </c>
      <c r="V62" s="6"/>
    </row>
    <row r="63" spans="2:26">
      <c r="E63" t="s">
        <v>270</v>
      </c>
      <c r="F63" t="s">
        <v>270</v>
      </c>
      <c r="G63" t="s">
        <v>270</v>
      </c>
      <c r="H63" t="s">
        <v>270</v>
      </c>
      <c r="I63" t="s">
        <v>270</v>
      </c>
    </row>
    <row r="64" spans="2:26">
      <c r="E64" t="s">
        <v>431</v>
      </c>
      <c r="F64" t="s">
        <v>432</v>
      </c>
      <c r="G64" t="s">
        <v>433</v>
      </c>
      <c r="H64" t="s">
        <v>463</v>
      </c>
      <c r="I64" t="s">
        <v>464</v>
      </c>
    </row>
    <row r="65" spans="2:24">
      <c r="B65" t="str">
        <f>K45</f>
        <v>DC2+Bac+Lys</v>
      </c>
      <c r="E65">
        <f>AVERAGE(E45:E47)</f>
        <v>-0.73918550992762955</v>
      </c>
      <c r="F65">
        <f t="shared" ref="F65:G65" si="13">AVERAGE(F45:F47)</f>
        <v>35.70840617738039</v>
      </c>
      <c r="G65">
        <f t="shared" si="13"/>
        <v>4.8809891878787877</v>
      </c>
      <c r="H65">
        <f>F65+(E65*(F65/(F65+G65)))</f>
        <v>35.058109808306568</v>
      </c>
      <c r="I65">
        <f>G65+(E65*(G65/(F65+G65)))</f>
        <v>4.7921000470249799</v>
      </c>
    </row>
    <row r="66" spans="2:24">
      <c r="B66" t="str">
        <f t="shared" ref="B66:B67" si="14">K46</f>
        <v>DC2+Bac</v>
      </c>
      <c r="E66">
        <f>AVERAGE(E48:E50)</f>
        <v>-0.11316586279632117</v>
      </c>
      <c r="F66">
        <f t="shared" ref="F66:G66" si="15">AVERAGE(F48:F50)</f>
        <v>16.743482982963727</v>
      </c>
      <c r="G66">
        <f t="shared" si="15"/>
        <v>1.8065727757575762</v>
      </c>
      <c r="H66">
        <f t="shared" ref="H66:H67" si="16">F66+(E66*(F66/(F66+G66)))</f>
        <v>16.641338238892445</v>
      </c>
      <c r="I66">
        <f t="shared" ref="I66:I67" si="17">G66+(E66*(G66/(F66+G66)))</f>
        <v>1.7955516570325378</v>
      </c>
    </row>
    <row r="67" spans="2:24">
      <c r="B67" t="str">
        <f t="shared" si="14"/>
        <v>DC2+Lys</v>
      </c>
      <c r="E67">
        <f>AVERAGE(E51:E53)</f>
        <v>-0.88845284154127124</v>
      </c>
      <c r="F67">
        <f t="shared" ref="F67:G67" si="18">AVERAGE(F51:F53)</f>
        <v>9.7718299181273949</v>
      </c>
      <c r="G67">
        <f t="shared" si="18"/>
        <v>3.561589309090909</v>
      </c>
      <c r="H67">
        <f t="shared" si="16"/>
        <v>9.1206983584074699</v>
      </c>
      <c r="I67">
        <f t="shared" si="17"/>
        <v>3.3242680272695626</v>
      </c>
    </row>
    <row r="68" spans="2:24">
      <c r="B68" t="str">
        <f>K50</f>
        <v>Bac+Lys</v>
      </c>
      <c r="E68">
        <f>AVERAGE(E60:E62)</f>
        <v>7.3707564038268218</v>
      </c>
      <c r="G68">
        <f>AVERAGE(G60:G62)</f>
        <v>5.2720449454545451</v>
      </c>
      <c r="I68">
        <f>G68+(E68*(G68/(F68+G68)))</f>
        <v>12.642801349281367</v>
      </c>
    </row>
    <row r="69" spans="2:24">
      <c r="D69" t="s">
        <v>11</v>
      </c>
      <c r="F69">
        <f>STDEV(F45:F47)</f>
        <v>3.6862621765068568</v>
      </c>
      <c r="L69" t="str">
        <f>B65</f>
        <v>DC2+Bac+Lys</v>
      </c>
      <c r="M69">
        <f>F65</f>
        <v>35.70840617738039</v>
      </c>
      <c r="U69" t="s">
        <v>91</v>
      </c>
      <c r="V69" t="s">
        <v>90</v>
      </c>
      <c r="W69" t="s">
        <v>92</v>
      </c>
      <c r="X69" t="s">
        <v>95</v>
      </c>
    </row>
    <row r="70" spans="2:24">
      <c r="D70" t="s">
        <v>11</v>
      </c>
      <c r="F70">
        <f>STDEV(F48:F50)</f>
        <v>2.9731182538634289</v>
      </c>
      <c r="L70" t="s">
        <v>470</v>
      </c>
      <c r="T70" t="s">
        <v>462</v>
      </c>
    </row>
    <row r="71" spans="2:24">
      <c r="D71" t="s">
        <v>11</v>
      </c>
      <c r="F71">
        <f>STDEV(F51:F53)</f>
        <v>1.2719768948744519</v>
      </c>
      <c r="L71" t="str">
        <f>B67</f>
        <v>DC2+Lys</v>
      </c>
      <c r="M71">
        <f>F67</f>
        <v>9.7718299181273949</v>
      </c>
      <c r="T71" t="s">
        <v>93</v>
      </c>
    </row>
    <row r="72" spans="2:24">
      <c r="D72" t="s">
        <v>462</v>
      </c>
      <c r="E72" t="s">
        <v>93</v>
      </c>
      <c r="F72" t="s">
        <v>94</v>
      </c>
      <c r="G72" t="s">
        <v>11</v>
      </c>
      <c r="L72" t="s">
        <v>469</v>
      </c>
      <c r="N72">
        <v>34.506</v>
      </c>
      <c r="T72" t="s">
        <v>94</v>
      </c>
    </row>
    <row r="73" spans="2:24">
      <c r="C73" t="str">
        <f>B65</f>
        <v>DC2+Bac+Lys</v>
      </c>
      <c r="E73">
        <f>H65</f>
        <v>35.058109808306568</v>
      </c>
      <c r="F73">
        <f>I65</f>
        <v>4.7921000470249799</v>
      </c>
      <c r="G73">
        <f>Q45</f>
        <v>2.1290277526005457</v>
      </c>
      <c r="L73" t="s">
        <v>90</v>
      </c>
      <c r="N73">
        <f>F66</f>
        <v>16.743482982963727</v>
      </c>
    </row>
    <row r="74" spans="2:24">
      <c r="C74" t="str">
        <f t="shared" ref="C74:C76" si="19">B66</f>
        <v>DC2+Bac</v>
      </c>
      <c r="E74">
        <f t="shared" ref="E74:F74" si="20">H66</f>
        <v>16.641338238892445</v>
      </c>
      <c r="F74">
        <f t="shared" si="20"/>
        <v>1.7955516570325378</v>
      </c>
      <c r="G74">
        <f t="shared" ref="G74:G76" si="21">Q46</f>
        <v>1.6756448418081689</v>
      </c>
      <c r="P74" t="s">
        <v>11</v>
      </c>
    </row>
    <row r="75" spans="2:24">
      <c r="C75" t="str">
        <f t="shared" si="19"/>
        <v>DC2+Lys</v>
      </c>
      <c r="E75">
        <f t="shared" ref="E75:F75" si="22">H67</f>
        <v>9.1206983584074699</v>
      </c>
      <c r="F75">
        <f t="shared" si="22"/>
        <v>3.3242680272695626</v>
      </c>
      <c r="G75">
        <f t="shared" si="21"/>
        <v>0.76784340118669203</v>
      </c>
      <c r="L75" t="str">
        <f>L69</f>
        <v>DC2+Bac+Lys</v>
      </c>
      <c r="M75">
        <f>M69</f>
        <v>35.70840617738039</v>
      </c>
      <c r="P75">
        <v>3.6859999999999999</v>
      </c>
    </row>
    <row r="76" spans="2:24">
      <c r="C76" t="str">
        <f t="shared" si="19"/>
        <v>Bac+Lys</v>
      </c>
      <c r="D76">
        <f>E68</f>
        <v>7.3707564038268218</v>
      </c>
      <c r="F76">
        <f t="shared" ref="F76" si="23">I68</f>
        <v>12.642801349281367</v>
      </c>
      <c r="G76">
        <f t="shared" si="21"/>
        <v>5.7756314071508157E-2</v>
      </c>
      <c r="L76" t="s">
        <v>471</v>
      </c>
      <c r="N76">
        <f>N73</f>
        <v>16.743482982963727</v>
      </c>
      <c r="P76">
        <v>2.9729999999999999</v>
      </c>
    </row>
    <row r="77" spans="2:24">
      <c r="L77" t="s">
        <v>472</v>
      </c>
      <c r="N77">
        <f>M75-N76</f>
        <v>18.964923194416663</v>
      </c>
      <c r="P77">
        <v>4.7393999999999998</v>
      </c>
    </row>
    <row r="78" spans="2:24">
      <c r="L78" t="str">
        <f>L72</f>
        <v>Lys available</v>
      </c>
      <c r="O78">
        <f>N72</f>
        <v>34.506</v>
      </c>
      <c r="P78">
        <v>2.4609999999999999</v>
      </c>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V59"/>
  <sheetViews>
    <sheetView workbookViewId="0">
      <selection activeCell="V11" sqref="V11"/>
    </sheetView>
  </sheetViews>
  <sheetFormatPr defaultRowHeight="15"/>
  <cols>
    <col min="3" max="3" width="12.85546875" bestFit="1" customWidth="1"/>
    <col min="4" max="4" width="9.5703125" bestFit="1" customWidth="1"/>
    <col min="5" max="8" width="9.7109375" bestFit="1" customWidth="1"/>
  </cols>
  <sheetData>
    <row r="2" spans="2:22">
      <c r="B2" s="21" t="s">
        <v>473</v>
      </c>
    </row>
    <row r="3" spans="2:22">
      <c r="B3" t="s">
        <v>129</v>
      </c>
      <c r="C3">
        <v>0</v>
      </c>
      <c r="D3">
        <v>1</v>
      </c>
      <c r="E3">
        <v>2</v>
      </c>
      <c r="F3">
        <v>3</v>
      </c>
      <c r="G3">
        <v>4</v>
      </c>
      <c r="H3">
        <v>5</v>
      </c>
      <c r="K3" t="s">
        <v>91</v>
      </c>
    </row>
    <row r="4" spans="2:22">
      <c r="B4" t="str">
        <f>'DC2'!M19</f>
        <v>Syn+Bac+lysate</v>
      </c>
      <c r="C4">
        <f>'DC2'!N19*100000*1000*0.00000000000000783*1000000</f>
        <v>5.9734392265193366</v>
      </c>
      <c r="D4">
        <f>'DC2'!O19*100000*1000*0.00000000000000783*1000000</f>
        <v>6.7589627071823193</v>
      </c>
      <c r="E4">
        <f>'DC2'!P19*100000*1000*0.00000000000000783*1000000</f>
        <v>12.376230662983422</v>
      </c>
      <c r="F4">
        <f>'DC2'!Q19*100000*1000*0.00000000000000783*1000000</f>
        <v>21.797104972375688</v>
      </c>
      <c r="G4">
        <f>'DC2'!R19*100000*1000*0.00000000000000783*1000000</f>
        <v>36.845341160220997</v>
      </c>
      <c r="H4">
        <f>'DC2'!S19*100000*1000*0.00000000000000783*1000000</f>
        <v>41.681845403899722</v>
      </c>
      <c r="K4" t="s">
        <v>478</v>
      </c>
      <c r="L4">
        <v>0</v>
      </c>
      <c r="M4">
        <v>1</v>
      </c>
      <c r="N4">
        <v>2</v>
      </c>
      <c r="O4">
        <v>3</v>
      </c>
      <c r="P4">
        <v>4</v>
      </c>
      <c r="Q4">
        <v>5</v>
      </c>
    </row>
    <row r="5" spans="2:22">
      <c r="B5" t="str">
        <f>'DC2'!M20</f>
        <v>Syn+Bac</v>
      </c>
      <c r="C5">
        <f>'DC2'!N20*100000*1000*0.00000000000000783*1000000</f>
        <v>6.2037969613259651</v>
      </c>
      <c r="D5">
        <f>'DC2'!O20*100000*1000*0.00000000000000783*1000000</f>
        <v>6.4893107734806623</v>
      </c>
      <c r="E5">
        <f>'DC2'!P20*100000*1000*0.00000000000000783*1000000</f>
        <v>9.3381401933701618</v>
      </c>
      <c r="F5">
        <f>'DC2'!Q20*100000*1000*0.00000000000000783*1000000</f>
        <v>16.758435082872925</v>
      </c>
      <c r="G5">
        <f>'DC2'!R20*100000*1000*0.00000000000000783*1000000</f>
        <v>24.695142265193368</v>
      </c>
      <c r="H5">
        <f>'DC2'!S20*100000*1000*0.00000000000000783*1000000</f>
        <v>22.947279944289694</v>
      </c>
      <c r="K5" t="s">
        <v>476</v>
      </c>
      <c r="L5">
        <f>C4</f>
        <v>5.9734392265193366</v>
      </c>
      <c r="M5">
        <f t="shared" ref="M5:Q5" si="0">D4</f>
        <v>6.7589627071823193</v>
      </c>
      <c r="N5">
        <f t="shared" si="0"/>
        <v>12.376230662983422</v>
      </c>
      <c r="O5">
        <f t="shared" si="0"/>
        <v>21.797104972375688</v>
      </c>
      <c r="P5">
        <f t="shared" si="0"/>
        <v>36.845341160220997</v>
      </c>
      <c r="Q5">
        <f t="shared" si="0"/>
        <v>41.681845403899722</v>
      </c>
      <c r="S5" t="s">
        <v>479</v>
      </c>
      <c r="U5">
        <f>Q5-L5</f>
        <v>35.708406177380382</v>
      </c>
      <c r="V5">
        <f>SQRT((Q9^2)+(L9^2))</f>
        <v>2.0315765937826114</v>
      </c>
    </row>
    <row r="6" spans="2:22">
      <c r="B6" t="str">
        <f>'DC2'!M21</f>
        <v>Syn+lysate</v>
      </c>
      <c r="C6">
        <f>'DC2'!N21*100000*1000*0.00000000000000783*1000000</f>
        <v>5.9983135359116009</v>
      </c>
      <c r="D6">
        <f>'DC2'!O21*100000*1000*0.00000000000000783*1000000</f>
        <v>5.4691035911602199</v>
      </c>
      <c r="E6">
        <f>'DC2'!P21*100000*1000*0.00000000000000783*1000000</f>
        <v>6.0904205801104965</v>
      </c>
      <c r="F6">
        <f>'DC2'!Q21*100000*1000*0.00000000000000783*1000000</f>
        <v>7.9990732044198873</v>
      </c>
      <c r="G6">
        <f>'DC2'!R21*100000*1000*0.00000000000000783*1000000</f>
        <v>12.582074585635358</v>
      </c>
      <c r="H6">
        <f>'DC2'!S21*100000*1000*0.00000000000000783*1000000</f>
        <v>15.770143454038996</v>
      </c>
      <c r="K6" t="s">
        <v>477</v>
      </c>
      <c r="L6">
        <f>C17</f>
        <v>7.6091917575757562E-2</v>
      </c>
      <c r="M6">
        <f t="shared" ref="M6:Q6" si="1">D17</f>
        <v>0.1512622099009901</v>
      </c>
      <c r="N6">
        <f t="shared" si="1"/>
        <v>0.32705180198019812</v>
      </c>
      <c r="O6">
        <f t="shared" si="1"/>
        <v>0.40946635151515143</v>
      </c>
      <c r="P6">
        <f t="shared" si="1"/>
        <v>0.47260600396039598</v>
      </c>
      <c r="Q6">
        <f t="shared" si="1"/>
        <v>0.56419083636363643</v>
      </c>
      <c r="S6" t="s">
        <v>480</v>
      </c>
      <c r="U6">
        <f>Q15-L15</f>
        <v>16.743482982963727</v>
      </c>
      <c r="V6">
        <f>SQRT((Q19^2)+(L19^2))</f>
        <v>1.6619470810543617</v>
      </c>
    </row>
    <row r="7" spans="2:22">
      <c r="B7" t="str">
        <f>'DC2'!M22</f>
        <v>Syn</v>
      </c>
      <c r="C7">
        <f>'DC2'!N22*100000*1000*0.00000000000000783*1000000</f>
        <v>5.9893011049723759</v>
      </c>
      <c r="D7">
        <f>'DC2'!O22*100000*1000*0.00000000000000783*1000000</f>
        <v>5.7138812154696135</v>
      </c>
      <c r="E7">
        <f>'DC2'!P22*100000*1000*0.00000000000000783*1000000</f>
        <v>5.143935082872928</v>
      </c>
      <c r="F7">
        <f>'DC2'!Q22*100000*1000*0.00000000000000783*1000000</f>
        <v>4.9644074585635352</v>
      </c>
      <c r="G7">
        <f>'DC2'!R22*100000*1000*0.00000000000000783*1000000</f>
        <v>4.8367914364640887</v>
      </c>
      <c r="H7">
        <f>'DC2'!S22*100000*1000*0.00000000000000783*1000000</f>
        <v>5.4257465181058482</v>
      </c>
      <c r="K7" t="s">
        <v>431</v>
      </c>
      <c r="L7">
        <f>C34</f>
        <v>0.8841784493019863</v>
      </c>
      <c r="M7">
        <f t="shared" ref="M7:Q7" si="2">D34</f>
        <v>2.52002179848634</v>
      </c>
      <c r="N7">
        <f t="shared" si="2"/>
        <v>0.31689186120915641</v>
      </c>
      <c r="O7">
        <f t="shared" si="2"/>
        <v>8.3638814998360234E-2</v>
      </c>
      <c r="P7">
        <f t="shared" si="2"/>
        <v>0.14906177449079724</v>
      </c>
      <c r="Q7">
        <f t="shared" si="2"/>
        <v>0.14499293937435673</v>
      </c>
      <c r="S7" t="s">
        <v>481</v>
      </c>
      <c r="U7">
        <f>Q25-L25</f>
        <v>9.7718299181273949</v>
      </c>
      <c r="V7">
        <f>SQRT((Q29^2)+(L29^2))</f>
        <v>0.70393858654857955</v>
      </c>
    </row>
    <row r="8" spans="2:22">
      <c r="S8" t="s">
        <v>482</v>
      </c>
      <c r="U8">
        <f>Q56-L56</f>
        <v>7.370756403826821</v>
      </c>
      <c r="V8">
        <f>SQRT((Q58^2)+(L58^2))</f>
        <v>6.2107153476445368E-3</v>
      </c>
    </row>
    <row r="9" spans="2:22">
      <c r="B9" t="s">
        <v>11</v>
      </c>
      <c r="L9">
        <f>C10</f>
        <v>0.10349284890219602</v>
      </c>
      <c r="M9">
        <f t="shared" ref="M9:Q9" si="3">D10</f>
        <v>0.25993350773955504</v>
      </c>
      <c r="N9">
        <f t="shared" si="3"/>
        <v>1.1829852386687039</v>
      </c>
      <c r="O9">
        <f t="shared" si="3"/>
        <v>2.7477644302801312</v>
      </c>
      <c r="P9">
        <f t="shared" si="3"/>
        <v>4.273665315486852</v>
      </c>
      <c r="Q9">
        <f t="shared" si="3"/>
        <v>2.0289388080056692</v>
      </c>
    </row>
    <row r="10" spans="2:22">
      <c r="B10" t="str">
        <f>B4</f>
        <v>Syn+Bac+lysate</v>
      </c>
      <c r="C10">
        <f>'DC2'!N25*100000*1000*0.00000000000000783*1000000</f>
        <v>0.10349284890219602</v>
      </c>
      <c r="D10">
        <f>'DC2'!O25*100000*1000*0.00000000000000783*1000000</f>
        <v>0.25993350773955504</v>
      </c>
      <c r="E10">
        <f>'DC2'!P25*100000*1000*0.00000000000000783*1000000</f>
        <v>1.1829852386687039</v>
      </c>
      <c r="F10">
        <f>'DC2'!Q25*100000*1000*0.00000000000000783*1000000</f>
        <v>2.7477644302801312</v>
      </c>
      <c r="G10">
        <f>'DC2'!R25*100000*1000*0.00000000000000783*1000000</f>
        <v>4.273665315486852</v>
      </c>
      <c r="H10">
        <f>'DC2'!S25*100000*1000*0.00000000000000783*1000000</f>
        <v>2.0289388080056692</v>
      </c>
      <c r="L10">
        <f>C25</f>
        <v>1.9444109945996318E-3</v>
      </c>
      <c r="M10">
        <f t="shared" ref="M10:Q10" si="4">D25</f>
        <v>7.5968758739052331E-2</v>
      </c>
      <c r="N10">
        <f t="shared" si="4"/>
        <v>2.5429699097993804E-2</v>
      </c>
      <c r="O10">
        <f t="shared" si="4"/>
        <v>1.3748497482346061E-2</v>
      </c>
      <c r="P10">
        <f t="shared" si="4"/>
        <v>1.9073262364804833E-2</v>
      </c>
      <c r="Q10">
        <f t="shared" si="4"/>
        <v>3.9822800312198309E-3</v>
      </c>
      <c r="U10">
        <f>U6+U7+U8</f>
        <v>33.886069304917939</v>
      </c>
      <c r="V10">
        <f>SQRT((V6^2)+(V7^2)+(V8^2))</f>
        <v>1.8048922978511086</v>
      </c>
    </row>
    <row r="11" spans="2:22">
      <c r="B11" t="str">
        <f t="shared" ref="B11:B13" si="5">B5</f>
        <v>Syn+Bac</v>
      </c>
      <c r="C11">
        <f>'DC2'!N26*100000*1000*0.00000000000000783*1000000</f>
        <v>0.11786164850112446</v>
      </c>
      <c r="D11">
        <f>'DC2'!O26*100000*1000*0.00000000000000783*1000000</f>
        <v>0.32272235407835725</v>
      </c>
      <c r="E11">
        <f>'DC2'!P26*100000*1000*0.00000000000000783*1000000</f>
        <v>0.34747399143360824</v>
      </c>
      <c r="F11">
        <f>'DC2'!Q26*100000*1000*0.00000000000000783*1000000</f>
        <v>2.101927887958936</v>
      </c>
      <c r="G11">
        <f>'DC2'!R26*100000*1000*0.00000000000000783*1000000</f>
        <v>1.0603372848529555</v>
      </c>
      <c r="H11">
        <f>'DC2'!S26*100000*1000*0.00000000000000783*1000000</f>
        <v>1.6577625680530099</v>
      </c>
      <c r="L11">
        <f>C42</f>
        <v>4.7600682006591004E-2</v>
      </c>
      <c r="M11">
        <f t="shared" ref="M11:Q11" si="6">D42</f>
        <v>6.3527558616913157E-2</v>
      </c>
      <c r="N11">
        <f t="shared" si="6"/>
        <v>0.18932221902484059</v>
      </c>
      <c r="O11">
        <f t="shared" si="6"/>
        <v>7.7556377414251063E-3</v>
      </c>
      <c r="P11">
        <f t="shared" si="6"/>
        <v>1.3473557784674916E-2</v>
      </c>
      <c r="Q11">
        <f t="shared" si="6"/>
        <v>2.0122276883332263E-2</v>
      </c>
    </row>
    <row r="12" spans="2:22">
      <c r="B12" t="str">
        <f t="shared" si="5"/>
        <v>Syn+lysate</v>
      </c>
      <c r="C12">
        <f>'DC2'!N27*100000*1000*0.00000000000000783*1000000</f>
        <v>3.9373494424550778E-2</v>
      </c>
      <c r="D12">
        <f>'DC2'!O27*100000*1000*0.00000000000000783*1000000</f>
        <v>7.312675578965315E-2</v>
      </c>
      <c r="E12">
        <f>'DC2'!P27*100000*1000*0.00000000000000783*1000000</f>
        <v>1.103792857158856E-2</v>
      </c>
      <c r="F12">
        <f>'DC2'!Q27*100000*1000*0.00000000000000783*1000000</f>
        <v>0.65307096901453454</v>
      </c>
      <c r="G12">
        <f>'DC2'!R27*100000*1000*0.00000000000000783*1000000</f>
        <v>0.92777513310872017</v>
      </c>
      <c r="H12">
        <f>'DC2'!S27*100000*1000*0.00000000000000783*1000000</f>
        <v>0.70283658240647373</v>
      </c>
    </row>
    <row r="13" spans="2:22">
      <c r="B13" t="str">
        <f t="shared" si="5"/>
        <v>Syn</v>
      </c>
      <c r="C13">
        <f>'DC2'!N28*100000*1000*0.00000000000000783*1000000</f>
        <v>8.8208451309244734E-2</v>
      </c>
      <c r="D13">
        <f>'DC2'!O28*100000*1000*0.00000000000000783*1000000</f>
        <v>0.13914072608230596</v>
      </c>
      <c r="E13">
        <f>'DC2'!P28*100000*1000*0.00000000000000783*1000000</f>
        <v>0.24514130238430287</v>
      </c>
      <c r="F13">
        <f>'DC2'!Q28*100000*1000*0.00000000000000783*1000000</f>
        <v>0.40561482494095835</v>
      </c>
      <c r="G13">
        <f>'DC2'!R28*100000*1000*0.00000000000000783*1000000</f>
        <v>0.22252317995497378</v>
      </c>
      <c r="H13">
        <f>'DC2'!S28*100000*1000*0.00000000000000783*1000000</f>
        <v>0.3381047149612566</v>
      </c>
      <c r="K13" t="s">
        <v>90</v>
      </c>
    </row>
    <row r="14" spans="2:22">
      <c r="K14" t="str">
        <f>K4</f>
        <v>Time(d)</v>
      </c>
      <c r="L14">
        <f t="shared" ref="L14:Q14" si="7">L4</f>
        <v>0</v>
      </c>
      <c r="M14">
        <f t="shared" si="7"/>
        <v>1</v>
      </c>
      <c r="N14">
        <f t="shared" si="7"/>
        <v>2</v>
      </c>
      <c r="O14">
        <f t="shared" si="7"/>
        <v>3</v>
      </c>
      <c r="P14">
        <f t="shared" si="7"/>
        <v>4</v>
      </c>
      <c r="Q14">
        <f t="shared" si="7"/>
        <v>5</v>
      </c>
    </row>
    <row r="15" spans="2:22">
      <c r="B15" t="s">
        <v>474</v>
      </c>
      <c r="K15" t="str">
        <f t="shared" ref="K15:K17" si="8">K5</f>
        <v>DC2-N</v>
      </c>
      <c r="L15">
        <f>C5</f>
        <v>6.2037969613259651</v>
      </c>
      <c r="M15">
        <f t="shared" ref="M15:Q15" si="9">D5</f>
        <v>6.4893107734806623</v>
      </c>
      <c r="N15">
        <f t="shared" si="9"/>
        <v>9.3381401933701618</v>
      </c>
      <c r="O15">
        <f t="shared" si="9"/>
        <v>16.758435082872925</v>
      </c>
      <c r="P15">
        <f t="shared" si="9"/>
        <v>24.695142265193368</v>
      </c>
      <c r="Q15">
        <f t="shared" si="9"/>
        <v>22.947279944289694</v>
      </c>
    </row>
    <row r="16" spans="2:22">
      <c r="B16" t="s">
        <v>129</v>
      </c>
      <c r="C16">
        <v>0</v>
      </c>
      <c r="D16">
        <v>1</v>
      </c>
      <c r="E16">
        <v>2</v>
      </c>
      <c r="F16">
        <v>3</v>
      </c>
      <c r="G16">
        <v>4</v>
      </c>
      <c r="H16">
        <v>5</v>
      </c>
      <c r="K16" t="str">
        <f t="shared" si="8"/>
        <v>Bac-N</v>
      </c>
      <c r="L16">
        <f>C18</f>
        <v>8.2412150303030299E-2</v>
      </c>
      <c r="M16">
        <f t="shared" ref="M16:Q16" si="10">D18</f>
        <v>7.4492509306930701E-2</v>
      </c>
      <c r="N16">
        <f t="shared" si="10"/>
        <v>0.1520271944554456</v>
      </c>
      <c r="O16">
        <f t="shared" si="10"/>
        <v>0.22188353696969698</v>
      </c>
      <c r="P16">
        <f t="shared" si="10"/>
        <v>0.26168232237623762</v>
      </c>
      <c r="Q16">
        <f t="shared" si="10"/>
        <v>0.2630694278787879</v>
      </c>
    </row>
    <row r="17" spans="2:17">
      <c r="B17" t="str">
        <f>B4</f>
        <v>Syn+Bac+lysate</v>
      </c>
      <c r="C17" s="30">
        <f>Bac!AI43*100000*1000*0.000000000000000414*1000000</f>
        <v>7.6091917575757562E-2</v>
      </c>
      <c r="D17" s="30">
        <f>Bac!AJ43*100000*1000*0.000000000000000414*1000000</f>
        <v>0.1512622099009901</v>
      </c>
      <c r="E17" s="30">
        <f>Bac!AK43*100000*1000*0.000000000000000414*1000000</f>
        <v>0.32705180198019812</v>
      </c>
      <c r="F17" s="30">
        <f>Bac!AL43*100000*1000*0.000000000000000414*1000000</f>
        <v>0.40946635151515143</v>
      </c>
      <c r="G17" s="30">
        <f>Bac!AM43*100000*1000*0.000000000000000414*1000000</f>
        <v>0.47260600396039598</v>
      </c>
      <c r="H17" s="30">
        <f>Bac!AN43*100000*1000*0.000000000000000414*1000000</f>
        <v>0.56419083636363643</v>
      </c>
      <c r="K17" t="str">
        <f t="shared" si="8"/>
        <v>NH4</v>
      </c>
      <c r="L17">
        <f>C35</f>
        <v>0.24547361033706935</v>
      </c>
      <c r="M17">
        <v>0</v>
      </c>
      <c r="N17">
        <f t="shared" ref="N17:Q17" si="11">E35</f>
        <v>4.6837299867208838E-2</v>
      </c>
      <c r="O17">
        <f t="shared" si="11"/>
        <v>0.11764870215841321</v>
      </c>
      <c r="P17">
        <f t="shared" si="11"/>
        <v>9.9517723367080715E-2</v>
      </c>
      <c r="Q17">
        <f t="shared" si="11"/>
        <v>0.1323077475407482</v>
      </c>
    </row>
    <row r="18" spans="2:17">
      <c r="B18" t="str">
        <f t="shared" ref="B18:B20" si="12">B5</f>
        <v>Syn+Bac</v>
      </c>
      <c r="C18" s="30">
        <f>Bac!AI44*100000*1000*0.000000000000000414*1000000</f>
        <v>8.2412150303030299E-2</v>
      </c>
      <c r="D18" s="30">
        <f>Bac!AJ44*100000*1000*0.000000000000000414*1000000</f>
        <v>7.4492509306930701E-2</v>
      </c>
      <c r="E18" s="30">
        <f>Bac!AK44*100000*1000*0.000000000000000414*1000000</f>
        <v>0.1520271944554456</v>
      </c>
      <c r="F18" s="30">
        <f>Bac!AL44*100000*1000*0.000000000000000414*1000000</f>
        <v>0.22188353696969698</v>
      </c>
      <c r="G18" s="30">
        <f>Bac!AM44*100000*1000*0.000000000000000414*1000000</f>
        <v>0.26168232237623762</v>
      </c>
      <c r="H18" s="30">
        <f>Bac!AN44*100000*1000*0.000000000000000414*1000000</f>
        <v>0.2630694278787879</v>
      </c>
    </row>
    <row r="19" spans="2:17">
      <c r="B19" t="str">
        <f t="shared" si="12"/>
        <v>Syn+lysate</v>
      </c>
      <c r="C19" s="30">
        <f>Bac!AI45*100000*1000*0.000000000000000414*1000000</f>
        <v>6.736892363636364E-2</v>
      </c>
      <c r="D19" s="30">
        <f>Bac!AJ45*100000*1000*0.000000000000000414*1000000</f>
        <v>0.14751899405940594</v>
      </c>
      <c r="E19" s="30">
        <f>Bac!AK45*100000*1000*0.000000000000000414*1000000</f>
        <v>0.28721926336633669</v>
      </c>
      <c r="F19" s="30">
        <f>Bac!AL45*100000*1000*0.000000000000000414*1000000</f>
        <v>0.35048487272727274</v>
      </c>
      <c r="G19" s="30">
        <f>Bac!AM45*100000*1000*0.000000000000000414*1000000</f>
        <v>0.39823466138613861</v>
      </c>
      <c r="H19" s="30">
        <f>Bac!AN45*100000*1000*0.000000000000000414*1000000</f>
        <v>0.4235278545454545</v>
      </c>
      <c r="L19">
        <f>C11</f>
        <v>0.11786164850112446</v>
      </c>
      <c r="M19">
        <f t="shared" ref="M19:Q19" si="13">D11</f>
        <v>0.32272235407835725</v>
      </c>
      <c r="N19">
        <f t="shared" si="13"/>
        <v>0.34747399143360824</v>
      </c>
      <c r="O19">
        <f t="shared" si="13"/>
        <v>2.101927887958936</v>
      </c>
      <c r="P19">
        <f t="shared" si="13"/>
        <v>1.0603372848529555</v>
      </c>
      <c r="Q19">
        <f t="shared" si="13"/>
        <v>1.6577625680530099</v>
      </c>
    </row>
    <row r="20" spans="2:17">
      <c r="B20" t="str">
        <f t="shared" si="12"/>
        <v>Syn</v>
      </c>
      <c r="C20" s="30">
        <f>Bac!AI46*100000*1000*0.000000000000000414*1000000</f>
        <v>6.8557786666666662E-2</v>
      </c>
      <c r="D20" s="30">
        <f>Bac!AJ46*100000*1000*0.000000000000000414*1000000</f>
        <v>7.7993719603960412E-2</v>
      </c>
      <c r="E20" s="30">
        <f>Bac!AK46*100000*1000*0.000000000000000414*1000000</f>
        <v>0.14332373940594059</v>
      </c>
      <c r="F20" s="30">
        <f>Bac!AL46*100000*1000*0.000000000000000414*1000000</f>
        <v>0.15962267636363633</v>
      </c>
      <c r="G20" s="30">
        <f>Bac!AM46*100000*1000*0.000000000000000414*1000000</f>
        <v>0.16351507960396039</v>
      </c>
      <c r="H20" s="30">
        <f>Bac!AN46*100000*1000*0.000000000000000414*1000000</f>
        <v>0.17386974060606061</v>
      </c>
      <c r="L20">
        <f>C26</f>
        <v>5.1293254107858668E-4</v>
      </c>
      <c r="M20">
        <f t="shared" ref="M20:Q20" si="14">D26</f>
        <v>3.7246925488981654E-2</v>
      </c>
      <c r="N20">
        <f t="shared" si="14"/>
        <v>9.8696308722174934E-3</v>
      </c>
      <c r="O20">
        <f t="shared" si="14"/>
        <v>2.1096015822415624E-2</v>
      </c>
      <c r="P20">
        <f t="shared" si="14"/>
        <v>1.0954115141813684E-2</v>
      </c>
      <c r="Q20">
        <f t="shared" si="14"/>
        <v>2.2470100123002878E-3</v>
      </c>
    </row>
    <row r="21" spans="2:17">
      <c r="B21" t="s">
        <v>94</v>
      </c>
      <c r="C21" s="30">
        <f>Bac!AI47*100000*1000*0.000000000000000414*1000000</f>
        <v>1.7303527272727274E-2</v>
      </c>
      <c r="D21" s="30">
        <f>Bac!AJ47*100000*1000*0.000000000000000414*1000000</f>
        <v>1.3889249108910892E-2</v>
      </c>
      <c r="E21" s="30">
        <f>Bac!AK47*100000*1000*0.000000000000000414*1000000</f>
        <v>3.3071631683168311E-2</v>
      </c>
      <c r="F21" s="30">
        <f>Bac!AL47*100000*1000*0.000000000000000414*1000000</f>
        <v>4.0280109090909094E-2</v>
      </c>
      <c r="G21" s="30">
        <f>Bac!AM47*100000*1000*0.000000000000000414*1000000</f>
        <v>4.3164541782178219E-2</v>
      </c>
      <c r="H21" s="30">
        <f>Bac!AN47*100000*1000*0.000000000000000414*1000000</f>
        <v>4.7042276363636372E-2</v>
      </c>
      <c r="L21">
        <f>C43</f>
        <v>4.3802627042326568E-3</v>
      </c>
      <c r="M21">
        <f t="shared" ref="M21:Q21" si="15">D43</f>
        <v>1.6464069745214364E-2</v>
      </c>
      <c r="N21">
        <f t="shared" si="15"/>
        <v>1.077585596150449E-2</v>
      </c>
      <c r="O21">
        <f t="shared" si="15"/>
        <v>3.7724851756177305E-2</v>
      </c>
      <c r="P21">
        <f t="shared" si="15"/>
        <v>1.0892089948046026E-2</v>
      </c>
      <c r="Q21">
        <f t="shared" si="15"/>
        <v>6.0511136019226405E-2</v>
      </c>
    </row>
    <row r="22" spans="2:17">
      <c r="B22" t="s">
        <v>95</v>
      </c>
      <c r="C22" s="30">
        <f>Bac!AI48*100000*1000*0.000000000000000414*1000000</f>
        <v>1.7590734545454546E-2</v>
      </c>
      <c r="D22" s="30">
        <f>Bac!AJ48*100000*1000*0.000000000000000414*1000000</f>
        <v>4.2860723168316836E-2</v>
      </c>
      <c r="E22" s="30">
        <f>Bac!AK48*100000*1000*0.000000000000000414*1000000</f>
        <v>0.50518067168316827</v>
      </c>
      <c r="F22" s="30">
        <f>Bac!AL48*100000*1000*0.000000000000000414*1000000</f>
        <v>0.58055680000000009</v>
      </c>
      <c r="G22" s="30">
        <f>Bac!AM48*100000*1000*0.000000000000000414*1000000</f>
        <v>0.55970591999999997</v>
      </c>
      <c r="H22" s="30">
        <f>Bac!AN48*100000*1000*0.000000000000000414*1000000</f>
        <v>0.54479522909090916</v>
      </c>
    </row>
    <row r="23" spans="2:17">
      <c r="C23" s="29"/>
      <c r="D23" s="29"/>
      <c r="E23" s="29"/>
      <c r="F23" s="29"/>
      <c r="G23" s="29"/>
      <c r="H23" s="29"/>
      <c r="K23" t="s">
        <v>92</v>
      </c>
    </row>
    <row r="24" spans="2:17">
      <c r="B24" t="s">
        <v>11</v>
      </c>
      <c r="C24" s="29"/>
      <c r="D24" s="29"/>
      <c r="E24" s="29"/>
      <c r="F24" s="29"/>
      <c r="G24" s="29"/>
      <c r="H24" s="29"/>
      <c r="K24" t="str">
        <f>K14</f>
        <v>Time(d)</v>
      </c>
      <c r="L24">
        <f t="shared" ref="L24:Q24" si="16">L14</f>
        <v>0</v>
      </c>
      <c r="M24">
        <f t="shared" si="16"/>
        <v>1</v>
      </c>
      <c r="N24">
        <f t="shared" si="16"/>
        <v>2</v>
      </c>
      <c r="O24">
        <f t="shared" si="16"/>
        <v>3</v>
      </c>
      <c r="P24">
        <f t="shared" si="16"/>
        <v>4</v>
      </c>
      <c r="Q24">
        <f t="shared" si="16"/>
        <v>5</v>
      </c>
    </row>
    <row r="25" spans="2:17">
      <c r="B25" t="str">
        <f t="shared" ref="B25:B30" si="17">B17</f>
        <v>Syn+Bac+lysate</v>
      </c>
      <c r="C25" s="30">
        <f>Bac!AI50*100000*1000*0.000000000000000414*1000000</f>
        <v>1.9444109945996318E-3</v>
      </c>
      <c r="D25" s="30">
        <f>Bac!AJ50*100000*1000*0.000000000000000414*1000000</f>
        <v>7.5968758739052331E-2</v>
      </c>
      <c r="E25" s="30">
        <f>Bac!AK50*100000*1000*0.000000000000000414*1000000</f>
        <v>2.5429699097993804E-2</v>
      </c>
      <c r="F25" s="30">
        <f>Bac!AL50*100000*1000*0.000000000000000414*1000000</f>
        <v>1.3748497482346061E-2</v>
      </c>
      <c r="G25" s="30">
        <f>Bac!AM50*100000*1000*0.000000000000000414*1000000</f>
        <v>1.9073262364804833E-2</v>
      </c>
      <c r="H25" s="30">
        <f>Bac!AN50*100000*1000*0.000000000000000414*1000000</f>
        <v>3.9822800312198309E-3</v>
      </c>
      <c r="K25" t="str">
        <f t="shared" ref="K25:K27" si="18">K15</f>
        <v>DC2-N</v>
      </c>
      <c r="L25">
        <f>C6</f>
        <v>5.9983135359116009</v>
      </c>
      <c r="M25">
        <f t="shared" ref="M25:Q25" si="19">D6</f>
        <v>5.4691035911602199</v>
      </c>
      <c r="N25">
        <f t="shared" si="19"/>
        <v>6.0904205801104965</v>
      </c>
      <c r="O25">
        <f t="shared" si="19"/>
        <v>7.9990732044198873</v>
      </c>
      <c r="P25">
        <f t="shared" si="19"/>
        <v>12.582074585635358</v>
      </c>
      <c r="Q25">
        <f t="shared" si="19"/>
        <v>15.770143454038996</v>
      </c>
    </row>
    <row r="26" spans="2:17">
      <c r="B26" t="str">
        <f t="shared" si="17"/>
        <v>Syn+Bac</v>
      </c>
      <c r="C26" s="30">
        <f>Bac!AI51*100000*1000*0.000000000000000414*1000000</f>
        <v>5.1293254107858668E-4</v>
      </c>
      <c r="D26" s="30">
        <f>Bac!AJ51*100000*1000*0.000000000000000414*1000000</f>
        <v>3.7246925488981654E-2</v>
      </c>
      <c r="E26" s="30">
        <f>Bac!AK51*100000*1000*0.000000000000000414*1000000</f>
        <v>9.8696308722174934E-3</v>
      </c>
      <c r="F26" s="30">
        <f>Bac!AL51*100000*1000*0.000000000000000414*1000000</f>
        <v>2.1096015822415624E-2</v>
      </c>
      <c r="G26" s="30">
        <f>Bac!AM51*100000*1000*0.000000000000000414*1000000</f>
        <v>1.0954115141813684E-2</v>
      </c>
      <c r="H26" s="30">
        <f>Bac!AN51*100000*1000*0.000000000000000414*1000000</f>
        <v>2.2470100123002878E-3</v>
      </c>
      <c r="K26" t="str">
        <f t="shared" si="18"/>
        <v>Bac-N</v>
      </c>
      <c r="L26">
        <f>C19</f>
        <v>6.736892363636364E-2</v>
      </c>
      <c r="M26">
        <f t="shared" ref="M26:Q26" si="20">D19</f>
        <v>0.14751899405940594</v>
      </c>
      <c r="N26">
        <f t="shared" si="20"/>
        <v>0.28721926336633669</v>
      </c>
      <c r="O26">
        <f t="shared" si="20"/>
        <v>0.35048487272727274</v>
      </c>
      <c r="P26">
        <f t="shared" si="20"/>
        <v>0.39823466138613861</v>
      </c>
      <c r="Q26">
        <f t="shared" si="20"/>
        <v>0.4235278545454545</v>
      </c>
    </row>
    <row r="27" spans="2:17">
      <c r="B27" t="str">
        <f t="shared" si="17"/>
        <v>Syn+lysate</v>
      </c>
      <c r="C27" s="30">
        <f>Bac!AI52*100000*1000*0.000000000000000414*1000000</f>
        <v>1.203441684323779E-3</v>
      </c>
      <c r="D27" s="30">
        <f>Bac!AJ52*100000*1000*0.000000000000000414*1000000</f>
        <v>7.377662943350824E-2</v>
      </c>
      <c r="E27" s="30">
        <f>Bac!AK52*100000*1000*0.000000000000000414*1000000</f>
        <v>5.7995075829032558E-3</v>
      </c>
      <c r="F27" s="30">
        <f>Bac!AL52*100000*1000*0.000000000000000414*1000000</f>
        <v>7.1422066572121162E-3</v>
      </c>
      <c r="G27" s="30">
        <f>Bac!AM52*100000*1000*0.000000000000000414*1000000</f>
        <v>1.3357216765588318E-2</v>
      </c>
      <c r="H27" s="30">
        <f>Bac!AN52*100000*1000*0.000000000000000414*1000000</f>
        <v>7.2028594569200606E-3</v>
      </c>
      <c r="K27" t="str">
        <f t="shared" si="18"/>
        <v>NH4</v>
      </c>
      <c r="L27">
        <f>C36</f>
        <v>1.013460620196641</v>
      </c>
      <c r="M27">
        <f t="shared" ref="M27:Q27" si="21">D36</f>
        <v>2.9559915252823514</v>
      </c>
      <c r="N27">
        <f t="shared" si="21"/>
        <v>0.41154830415820642</v>
      </c>
      <c r="O27">
        <f t="shared" si="21"/>
        <v>1.9011004899098587</v>
      </c>
      <c r="P27">
        <f t="shared" si="21"/>
        <v>0.14355687992149543</v>
      </c>
      <c r="Q27">
        <f t="shared" si="21"/>
        <v>0.12500777865536969</v>
      </c>
    </row>
    <row r="28" spans="2:17">
      <c r="B28" t="str">
        <f t="shared" si="17"/>
        <v>Syn</v>
      </c>
      <c r="C28" s="30">
        <f>Bac!AI53*100000*1000*0.000000000000000414*1000000</f>
        <v>3.1361790114009226E-4</v>
      </c>
      <c r="D28" s="30">
        <f>Bac!AJ53*100000*1000*0.000000000000000414*1000000</f>
        <v>3.8998885995484081E-2</v>
      </c>
      <c r="E28" s="30">
        <f>Bac!AK53*100000*1000*0.000000000000000414*1000000</f>
        <v>6.483175794374775E-3</v>
      </c>
      <c r="F28" s="30">
        <f>Bac!AL53*100000*1000*0.000000000000000414*1000000</f>
        <v>1.1888004933414716E-2</v>
      </c>
      <c r="G28" s="30">
        <f>Bac!AM53*100000*1000*0.000000000000000414*1000000</f>
        <v>1.272361726464246E-2</v>
      </c>
      <c r="H28" s="30">
        <f>Bac!AN53*100000*1000*0.000000000000000414*1000000</f>
        <v>1.3420840482232474E-2</v>
      </c>
    </row>
    <row r="29" spans="2:17">
      <c r="B29" t="str">
        <f t="shared" si="17"/>
        <v>Bac</v>
      </c>
      <c r="C29" s="30">
        <f>Bac!AI54*100000*1000*0.000000000000000414*1000000</f>
        <v>4.5163713804647449E-4</v>
      </c>
      <c r="D29" s="30">
        <f>Bac!AJ54*100000*1000*0.000000000000000414*1000000</f>
        <v>6.9453297408427431E-3</v>
      </c>
      <c r="E29" s="30">
        <f>Bac!AK54*100000*1000*0.000000000000000414*1000000</f>
        <v>1.3138690704930529E-3</v>
      </c>
      <c r="F29" s="30">
        <f>Bac!AL54*100000*1000*0.000000000000000414*1000000</f>
        <v>3.412471455872413E-3</v>
      </c>
      <c r="G29" s="30">
        <f>Bac!AM54*100000*1000*0.000000000000000414*1000000</f>
        <v>3.7672460897601756E-3</v>
      </c>
      <c r="H29" s="30">
        <f>Bac!AN54*100000*1000*0.000000000000000414*1000000</f>
        <v>3.418139623716353E-3</v>
      </c>
      <c r="L29">
        <f>C12</f>
        <v>3.9373494424550778E-2</v>
      </c>
      <c r="M29">
        <f t="shared" ref="M29:Q29" si="22">D12</f>
        <v>7.312675578965315E-2</v>
      </c>
      <c r="N29">
        <f t="shared" si="22"/>
        <v>1.103792857158856E-2</v>
      </c>
      <c r="O29">
        <f t="shared" si="22"/>
        <v>0.65307096901453454</v>
      </c>
      <c r="P29">
        <f t="shared" si="22"/>
        <v>0.92777513310872017</v>
      </c>
      <c r="Q29">
        <f t="shared" si="22"/>
        <v>0.70283658240647373</v>
      </c>
    </row>
    <row r="30" spans="2:17">
      <c r="B30" t="str">
        <f t="shared" si="17"/>
        <v>Bac+Lys</v>
      </c>
      <c r="C30" s="30">
        <f>Bac!AI55*100000*1000*0.000000000000000414*1000000</f>
        <v>9.5885799015770358E-5</v>
      </c>
      <c r="D30" s="30">
        <f>Bac!AJ55*100000*1000*0.000000000000000414*1000000</f>
        <v>2.143321973123841E-2</v>
      </c>
      <c r="E30" s="30">
        <f>Bac!AK55*100000*1000*0.000000000000000414*1000000</f>
        <v>2.4694094625347719E-3</v>
      </c>
      <c r="F30" s="30">
        <f>Bac!AL55*100000*1000*0.000000000000000414*1000000</f>
        <v>7.0303409932935199E-3</v>
      </c>
      <c r="G30" s="30">
        <f>Bac!AM55*100000*1000*0.000000000000000414*1000000</f>
        <v>9.8443609429155008E-3</v>
      </c>
      <c r="H30" s="30">
        <f>Bac!AN55*100000*1000*0.000000000000000414*1000000</f>
        <v>6.2099751241864497E-3</v>
      </c>
      <c r="L30">
        <f>C27</f>
        <v>1.203441684323779E-3</v>
      </c>
      <c r="M30">
        <f t="shared" ref="M30:Q30" si="23">D27</f>
        <v>7.377662943350824E-2</v>
      </c>
      <c r="N30">
        <f t="shared" si="23"/>
        <v>5.7995075829032558E-3</v>
      </c>
      <c r="O30">
        <f t="shared" si="23"/>
        <v>7.1422066572121162E-3</v>
      </c>
      <c r="P30">
        <f t="shared" si="23"/>
        <v>1.3357216765588318E-2</v>
      </c>
      <c r="Q30">
        <f t="shared" si="23"/>
        <v>7.2028594569200606E-3</v>
      </c>
    </row>
    <row r="31" spans="2:17">
      <c r="C31" s="29"/>
      <c r="D31" s="29"/>
      <c r="E31" s="29"/>
      <c r="F31" s="29"/>
      <c r="G31" s="29"/>
      <c r="H31" s="29"/>
      <c r="L31">
        <f>C44</f>
        <v>2.1095154619593201E-2</v>
      </c>
      <c r="M31">
        <f t="shared" ref="M31:Q31" si="24">D44</f>
        <v>7.7909310036772386E-2</v>
      </c>
      <c r="N31">
        <f t="shared" si="24"/>
        <v>0.13945235777594603</v>
      </c>
      <c r="O31">
        <f t="shared" si="24"/>
        <v>0.20316703852816373</v>
      </c>
      <c r="P31">
        <f t="shared" si="24"/>
        <v>8.7752842334164645E-3</v>
      </c>
      <c r="Q31">
        <f t="shared" si="24"/>
        <v>1.5906875037278407E-2</v>
      </c>
    </row>
    <row r="32" spans="2:17">
      <c r="B32" t="s">
        <v>475</v>
      </c>
      <c r="C32" s="6"/>
      <c r="D32" s="6"/>
      <c r="E32" s="6"/>
      <c r="F32" s="6"/>
      <c r="G32" s="6"/>
      <c r="H32" s="6"/>
    </row>
    <row r="33" spans="2:17">
      <c r="B33" t="s">
        <v>129</v>
      </c>
      <c r="C33" s="20">
        <v>0</v>
      </c>
      <c r="D33" s="20">
        <v>1</v>
      </c>
      <c r="E33" s="20">
        <v>2</v>
      </c>
      <c r="F33" s="20">
        <v>3</v>
      </c>
      <c r="G33" s="20">
        <v>4</v>
      </c>
      <c r="H33" s="20">
        <v>5</v>
      </c>
      <c r="K33" t="s">
        <v>93</v>
      </c>
    </row>
    <row r="34" spans="2:17">
      <c r="B34" t="str">
        <f>B17</f>
        <v>Syn+Bac+lysate</v>
      </c>
      <c r="C34" s="30">
        <f>'NH4'!P28</f>
        <v>0.8841784493019863</v>
      </c>
      <c r="D34" s="30">
        <f>'NH4'!Q28</f>
        <v>2.52002179848634</v>
      </c>
      <c r="E34" s="30">
        <f>'NH4'!R28</f>
        <v>0.31689186120915641</v>
      </c>
      <c r="F34" s="30">
        <f>'NH4'!S28</f>
        <v>8.3638814998360234E-2</v>
      </c>
      <c r="G34" s="30">
        <f>'NH4'!T28</f>
        <v>0.14906177449079724</v>
      </c>
      <c r="H34" s="30">
        <f>'NH4'!U28</f>
        <v>0.14499293937435673</v>
      </c>
      <c r="K34" t="str">
        <f>K24</f>
        <v>Time(d)</v>
      </c>
      <c r="L34">
        <f t="shared" ref="L34:P34" si="25">L24</f>
        <v>0</v>
      </c>
      <c r="M34">
        <f t="shared" si="25"/>
        <v>1</v>
      </c>
      <c r="N34">
        <f t="shared" si="25"/>
        <v>2</v>
      </c>
      <c r="O34">
        <f t="shared" si="25"/>
        <v>3</v>
      </c>
      <c r="P34">
        <f t="shared" si="25"/>
        <v>4</v>
      </c>
      <c r="Q34">
        <f>Q24</f>
        <v>5</v>
      </c>
    </row>
    <row r="35" spans="2:17">
      <c r="B35" t="str">
        <f t="shared" ref="B35:B46" si="26">B18</f>
        <v>Syn+Bac</v>
      </c>
      <c r="C35" s="30">
        <f>'NH4'!P29</f>
        <v>0.24547361033706935</v>
      </c>
      <c r="D35" s="30">
        <f>'NH4'!Q29</f>
        <v>-4.6654277350629677E-3</v>
      </c>
      <c r="E35" s="30">
        <f>'NH4'!R29</f>
        <v>4.6837299867208838E-2</v>
      </c>
      <c r="F35" s="30">
        <f>'NH4'!S29</f>
        <v>0.11764870215841321</v>
      </c>
      <c r="G35" s="30">
        <f>'NH4'!T29</f>
        <v>9.9517723367080715E-2</v>
      </c>
      <c r="H35" s="30">
        <f>'NH4'!U29</f>
        <v>0.1323077475407482</v>
      </c>
      <c r="K35" t="str">
        <f t="shared" ref="K35:K37" si="27">K25</f>
        <v>DC2-N</v>
      </c>
      <c r="L35">
        <f>C7</f>
        <v>5.9893011049723759</v>
      </c>
      <c r="M35">
        <f t="shared" ref="M35:Q35" si="28">D7</f>
        <v>5.7138812154696135</v>
      </c>
      <c r="N35">
        <f t="shared" si="28"/>
        <v>5.143935082872928</v>
      </c>
      <c r="O35">
        <f t="shared" si="28"/>
        <v>4.9644074585635352</v>
      </c>
      <c r="P35">
        <f t="shared" si="28"/>
        <v>4.8367914364640887</v>
      </c>
      <c r="Q35">
        <f t="shared" si="28"/>
        <v>5.4257465181058482</v>
      </c>
    </row>
    <row r="36" spans="2:17">
      <c r="B36" t="str">
        <f t="shared" si="26"/>
        <v>Syn+lysate</v>
      </c>
      <c r="C36" s="30">
        <f>'NH4'!P30</f>
        <v>1.013460620196641</v>
      </c>
      <c r="D36" s="30">
        <f>'NH4'!Q30</f>
        <v>2.9559915252823514</v>
      </c>
      <c r="E36" s="30">
        <f>'NH4'!R30</f>
        <v>0.41154830415820642</v>
      </c>
      <c r="F36" s="30">
        <f>'NH4'!S30</f>
        <v>1.9011004899098587</v>
      </c>
      <c r="G36" s="30">
        <f>'NH4'!T30</f>
        <v>0.14355687992149543</v>
      </c>
      <c r="H36" s="30">
        <f>'NH4'!U30</f>
        <v>0.12500777865536969</v>
      </c>
      <c r="K36" t="str">
        <f t="shared" si="27"/>
        <v>Bac-N</v>
      </c>
      <c r="L36">
        <f>C20</f>
        <v>6.8557786666666662E-2</v>
      </c>
      <c r="M36">
        <f t="shared" ref="M36:Q36" si="29">D20</f>
        <v>7.7993719603960412E-2</v>
      </c>
      <c r="N36">
        <f t="shared" si="29"/>
        <v>0.14332373940594059</v>
      </c>
      <c r="O36">
        <f t="shared" si="29"/>
        <v>0.15962267636363633</v>
      </c>
      <c r="P36">
        <f t="shared" si="29"/>
        <v>0.16351507960396039</v>
      </c>
      <c r="Q36">
        <f t="shared" si="29"/>
        <v>0.17386974060606061</v>
      </c>
    </row>
    <row r="37" spans="2:17">
      <c r="B37" t="str">
        <f t="shared" si="26"/>
        <v>Syn</v>
      </c>
      <c r="C37" s="30">
        <f>'NH4'!P31</f>
        <v>0.4191341741146683</v>
      </c>
      <c r="D37" s="30">
        <f>'NH4'!Q31</f>
        <v>8.2097438326713661E-3</v>
      </c>
      <c r="E37" s="30">
        <f>'NH4'!R31</f>
        <v>5.0139877942218643E-2</v>
      </c>
      <c r="F37" s="30">
        <f>'NH4'!S31</f>
        <v>0.10647402494868152</v>
      </c>
      <c r="G37" s="30">
        <f>'NH4'!T31</f>
        <v>0.2135647782484861</v>
      </c>
      <c r="H37" s="30">
        <f>'NH4'!U31</f>
        <v>0.10921112467389484</v>
      </c>
      <c r="K37" t="str">
        <f t="shared" si="27"/>
        <v>NH4</v>
      </c>
      <c r="L37">
        <f>C37</f>
        <v>0.4191341741146683</v>
      </c>
      <c r="M37">
        <f t="shared" ref="M37:Q37" si="30">D37</f>
        <v>8.2097438326713661E-3</v>
      </c>
      <c r="N37">
        <f t="shared" si="30"/>
        <v>5.0139877942218643E-2</v>
      </c>
      <c r="O37">
        <f t="shared" si="30"/>
        <v>0.10647402494868152</v>
      </c>
      <c r="P37">
        <f t="shared" si="30"/>
        <v>0.2135647782484861</v>
      </c>
      <c r="Q37">
        <f t="shared" si="30"/>
        <v>0.10921112467389484</v>
      </c>
    </row>
    <row r="38" spans="2:17">
      <c r="B38" t="str">
        <f t="shared" si="26"/>
        <v>Bac</v>
      </c>
      <c r="C38" s="30">
        <f>'NH4'!P32</f>
        <v>0.45388004761216721</v>
      </c>
      <c r="D38" s="30">
        <f>'NH4'!Q32</f>
        <v>0.14230587034945161</v>
      </c>
      <c r="E38" s="30">
        <f>'NH4'!R32</f>
        <v>0.53967827385252598</v>
      </c>
      <c r="F38" s="30">
        <f>'NH4'!S32</f>
        <v>0.12918777101628831</v>
      </c>
      <c r="G38" s="30">
        <f>'NH4'!T32</f>
        <v>0.12022091381249851</v>
      </c>
      <c r="H38" s="30">
        <f>'NH4'!U32</f>
        <v>0.16928627845192792</v>
      </c>
    </row>
    <row r="39" spans="2:17">
      <c r="B39" t="str">
        <f t="shared" si="26"/>
        <v>Bac+Lys</v>
      </c>
      <c r="C39" s="30">
        <f>'NH4'!P33</f>
        <v>0.86807838118631342</v>
      </c>
      <c r="D39" s="30">
        <f>'NH4'!Q33</f>
        <v>1.6030395542431977</v>
      </c>
      <c r="E39" s="30">
        <f>'NH4'!R33</f>
        <v>6.5213044505584721</v>
      </c>
      <c r="F39" s="30">
        <f>'NH4'!S33</f>
        <v>7.2506269845241862</v>
      </c>
      <c r="G39" s="30">
        <f>'NH4'!T33</f>
        <v>7.4806431632794137</v>
      </c>
      <c r="H39" s="30">
        <f>'NH4'!U33</f>
        <v>8.2388347850131343</v>
      </c>
      <c r="L39">
        <f>C13</f>
        <v>8.8208451309244734E-2</v>
      </c>
      <c r="M39">
        <f t="shared" ref="M39:Q39" si="31">D13</f>
        <v>0.13914072608230596</v>
      </c>
      <c r="N39">
        <f t="shared" si="31"/>
        <v>0.24514130238430287</v>
      </c>
      <c r="O39">
        <f t="shared" si="31"/>
        <v>0.40561482494095835</v>
      </c>
      <c r="P39">
        <f t="shared" si="31"/>
        <v>0.22252317995497378</v>
      </c>
      <c r="Q39">
        <f t="shared" si="31"/>
        <v>0.3381047149612566</v>
      </c>
    </row>
    <row r="40" spans="2:17">
      <c r="C40" s="7"/>
      <c r="L40">
        <f>C28</f>
        <v>3.1361790114009226E-4</v>
      </c>
      <c r="M40">
        <f t="shared" ref="M40:Q40" si="32">D28</f>
        <v>3.8998885995484081E-2</v>
      </c>
      <c r="N40">
        <f t="shared" si="32"/>
        <v>6.483175794374775E-3</v>
      </c>
      <c r="O40">
        <f t="shared" si="32"/>
        <v>1.1888004933414716E-2</v>
      </c>
      <c r="P40">
        <f t="shared" si="32"/>
        <v>1.272361726464246E-2</v>
      </c>
      <c r="Q40">
        <f t="shared" si="32"/>
        <v>1.3420840482232474E-2</v>
      </c>
    </row>
    <row r="41" spans="2:17">
      <c r="B41" t="str">
        <f t="shared" si="26"/>
        <v>StDev</v>
      </c>
      <c r="C41" s="7"/>
      <c r="L41">
        <f>C45</f>
        <v>1.1532782540236809E-2</v>
      </c>
      <c r="M41">
        <f t="shared" ref="M41:Q41" si="33">D45</f>
        <v>3.5725871000934224E-2</v>
      </c>
      <c r="N41">
        <f t="shared" si="33"/>
        <v>9.3550276755087029E-3</v>
      </c>
      <c r="O41">
        <f t="shared" si="33"/>
        <v>3.0876921726658152E-2</v>
      </c>
      <c r="P41">
        <f t="shared" si="33"/>
        <v>4.2142765333045798E-2</v>
      </c>
      <c r="Q41">
        <f t="shared" si="33"/>
        <v>2.0171325339211042E-2</v>
      </c>
    </row>
    <row r="42" spans="2:17">
      <c r="B42" t="str">
        <f t="shared" si="26"/>
        <v>Syn+Bac+lysate</v>
      </c>
      <c r="C42" s="30">
        <f>'NH4'!X28</f>
        <v>4.7600682006591004E-2</v>
      </c>
      <c r="D42" s="30">
        <f>'NH4'!Y28</f>
        <v>6.3527558616913157E-2</v>
      </c>
      <c r="E42" s="30">
        <f>'NH4'!Z28</f>
        <v>0.18932221902484059</v>
      </c>
      <c r="F42" s="30">
        <f>'NH4'!AA28</f>
        <v>7.7556377414251063E-3</v>
      </c>
      <c r="G42" s="30">
        <f>'NH4'!AB28</f>
        <v>1.3473557784674916E-2</v>
      </c>
      <c r="H42" s="30">
        <f>'NH4'!AC28</f>
        <v>2.0122276883332263E-2</v>
      </c>
    </row>
    <row r="43" spans="2:17">
      <c r="B43" t="str">
        <f t="shared" si="26"/>
        <v>Syn+Bac</v>
      </c>
      <c r="C43" s="30">
        <f>'NH4'!X29</f>
        <v>4.3802627042326568E-3</v>
      </c>
      <c r="D43" s="30">
        <f>'NH4'!Y29</f>
        <v>1.6464069745214364E-2</v>
      </c>
      <c r="E43" s="30">
        <f>'NH4'!Z29</f>
        <v>1.077585596150449E-2</v>
      </c>
      <c r="F43" s="30">
        <f>'NH4'!AA29</f>
        <v>3.7724851756177305E-2</v>
      </c>
      <c r="G43" s="30">
        <f>'NH4'!AB29</f>
        <v>1.0892089948046026E-2</v>
      </c>
      <c r="H43" s="30">
        <f>'NH4'!AC29</f>
        <v>6.0511136019226405E-2</v>
      </c>
      <c r="K43" t="s">
        <v>94</v>
      </c>
    </row>
    <row r="44" spans="2:17">
      <c r="B44" t="str">
        <f t="shared" si="26"/>
        <v>Syn+lysate</v>
      </c>
      <c r="C44" s="30">
        <f>'NH4'!X30</f>
        <v>2.1095154619593201E-2</v>
      </c>
      <c r="D44" s="30">
        <f>'NH4'!Y30</f>
        <v>7.7909310036772386E-2</v>
      </c>
      <c r="E44" s="30">
        <f>'NH4'!Z30</f>
        <v>0.13945235777594603</v>
      </c>
      <c r="F44" s="30">
        <f>'NH4'!AA30</f>
        <v>0.20316703852816373</v>
      </c>
      <c r="G44" s="30">
        <f>'NH4'!AB30</f>
        <v>8.7752842334164645E-3</v>
      </c>
      <c r="H44" s="30">
        <f>'NH4'!AC30</f>
        <v>1.5906875037278407E-2</v>
      </c>
      <c r="K44" t="str">
        <f t="shared" ref="K44:Q44" si="34">K34</f>
        <v>Time(d)</v>
      </c>
      <c r="L44">
        <f t="shared" si="34"/>
        <v>0</v>
      </c>
      <c r="M44">
        <f t="shared" si="34"/>
        <v>1</v>
      </c>
      <c r="N44">
        <f t="shared" si="34"/>
        <v>2</v>
      </c>
      <c r="O44">
        <f t="shared" si="34"/>
        <v>3</v>
      </c>
      <c r="P44">
        <f t="shared" si="34"/>
        <v>4</v>
      </c>
      <c r="Q44">
        <f t="shared" si="34"/>
        <v>5</v>
      </c>
    </row>
    <row r="45" spans="2:17">
      <c r="B45" t="str">
        <f t="shared" si="26"/>
        <v>Syn</v>
      </c>
      <c r="C45" s="30">
        <f>'NH4'!X31</f>
        <v>1.1532782540236809E-2</v>
      </c>
      <c r="D45" s="30">
        <f>'NH4'!Y31</f>
        <v>3.5725871000934224E-2</v>
      </c>
      <c r="E45" s="30">
        <f>'NH4'!Z31</f>
        <v>9.3550276755087029E-3</v>
      </c>
      <c r="F45" s="30">
        <f>'NH4'!AA31</f>
        <v>3.0876921726658152E-2</v>
      </c>
      <c r="G45" s="30">
        <f>'NH4'!AB31</f>
        <v>4.2142765333045798E-2</v>
      </c>
      <c r="H45" s="30">
        <f>'NH4'!AC31</f>
        <v>2.0171325339211042E-2</v>
      </c>
    </row>
    <row r="46" spans="2:17">
      <c r="B46" t="str">
        <f t="shared" si="26"/>
        <v>Bac</v>
      </c>
      <c r="C46" s="30">
        <f>'NH4'!X32</f>
        <v>0.11503955604264465</v>
      </c>
      <c r="D46" s="30">
        <f>'NH4'!Y32</f>
        <v>0.15978660332914785</v>
      </c>
      <c r="E46" s="30">
        <f>'NH4'!Z32</f>
        <v>1.070047011274013E-2</v>
      </c>
      <c r="F46" s="30">
        <f>'NH4'!AA32</f>
        <v>1.7365087719919573E-2</v>
      </c>
      <c r="G46" s="30">
        <f>'NH4'!AB32</f>
        <v>1.608415080195439E-2</v>
      </c>
      <c r="H46" s="30">
        <f>'NH4'!AC32</f>
        <v>2.5939496752643409E-2</v>
      </c>
      <c r="K46" t="str">
        <f>K36</f>
        <v>Bac-N</v>
      </c>
      <c r="L46">
        <f t="shared" ref="L46:Q46" si="35">C21</f>
        <v>1.7303527272727274E-2</v>
      </c>
      <c r="M46">
        <f t="shared" si="35"/>
        <v>1.3889249108910892E-2</v>
      </c>
      <c r="N46">
        <f t="shared" si="35"/>
        <v>3.3071631683168311E-2</v>
      </c>
      <c r="O46">
        <f t="shared" si="35"/>
        <v>4.0280109090909094E-2</v>
      </c>
      <c r="P46">
        <f t="shared" si="35"/>
        <v>4.3164541782178219E-2</v>
      </c>
      <c r="Q46">
        <f t="shared" si="35"/>
        <v>4.7042276363636372E-2</v>
      </c>
    </row>
    <row r="47" spans="2:17">
      <c r="B47" t="str">
        <f>B30</f>
        <v>Bac+Lys</v>
      </c>
      <c r="C47" s="30">
        <f>'NH4'!X33</f>
        <v>3.1897106051087934E-2</v>
      </c>
      <c r="D47" s="30">
        <f>'NH4'!Y33</f>
        <v>8.9127940259661809E-2</v>
      </c>
      <c r="E47" s="30">
        <f>'NH4'!Z33</f>
        <v>4.8219451548288203E-2</v>
      </c>
      <c r="F47" s="30">
        <f>'NH4'!AA33</f>
        <v>0.1077296723170816</v>
      </c>
      <c r="G47" s="30">
        <f>'NH4'!AB33</f>
        <v>4.5640139835676087E-2</v>
      </c>
      <c r="H47" s="30">
        <f>'NH4'!AC33</f>
        <v>2.1891525411740411E-2</v>
      </c>
      <c r="K47" t="str">
        <f>K37</f>
        <v>NH4</v>
      </c>
      <c r="L47">
        <f t="shared" ref="L47:Q47" si="36">C38</f>
        <v>0.45388004761216721</v>
      </c>
      <c r="M47">
        <f t="shared" si="36"/>
        <v>0.14230587034945161</v>
      </c>
      <c r="N47">
        <f t="shared" si="36"/>
        <v>0.53967827385252598</v>
      </c>
      <c r="O47">
        <f t="shared" si="36"/>
        <v>0.12918777101628831</v>
      </c>
      <c r="P47">
        <f t="shared" si="36"/>
        <v>0.12022091381249851</v>
      </c>
      <c r="Q47">
        <f t="shared" si="36"/>
        <v>0.16928627845192792</v>
      </c>
    </row>
    <row r="49" spans="11:17">
      <c r="L49">
        <f t="shared" ref="L49:Q49" si="37">C29</f>
        <v>4.5163713804647449E-4</v>
      </c>
      <c r="M49">
        <f t="shared" si="37"/>
        <v>6.9453297408427431E-3</v>
      </c>
      <c r="N49">
        <f t="shared" si="37"/>
        <v>1.3138690704930529E-3</v>
      </c>
      <c r="O49">
        <f t="shared" si="37"/>
        <v>3.412471455872413E-3</v>
      </c>
      <c r="P49">
        <f t="shared" si="37"/>
        <v>3.7672460897601756E-3</v>
      </c>
      <c r="Q49">
        <f t="shared" si="37"/>
        <v>3.418139623716353E-3</v>
      </c>
    </row>
    <row r="50" spans="11:17">
      <c r="L50">
        <f t="shared" ref="L50:Q50" si="38">C46</f>
        <v>0.11503955604264465</v>
      </c>
      <c r="M50">
        <f t="shared" si="38"/>
        <v>0.15978660332914785</v>
      </c>
      <c r="N50">
        <f t="shared" si="38"/>
        <v>1.070047011274013E-2</v>
      </c>
      <c r="O50">
        <f t="shared" si="38"/>
        <v>1.7365087719919573E-2</v>
      </c>
      <c r="P50">
        <f t="shared" si="38"/>
        <v>1.608415080195439E-2</v>
      </c>
      <c r="Q50">
        <f t="shared" si="38"/>
        <v>2.5939496752643409E-2</v>
      </c>
    </row>
    <row r="52" spans="11:17">
      <c r="K52" t="s">
        <v>95</v>
      </c>
    </row>
    <row r="53" spans="11:17">
      <c r="K53" t="str">
        <f t="shared" ref="K53:Q53" si="39">K44</f>
        <v>Time(d)</v>
      </c>
      <c r="L53">
        <f t="shared" si="39"/>
        <v>0</v>
      </c>
      <c r="M53">
        <f t="shared" si="39"/>
        <v>1</v>
      </c>
      <c r="N53">
        <f t="shared" si="39"/>
        <v>2</v>
      </c>
      <c r="O53">
        <f t="shared" si="39"/>
        <v>3</v>
      </c>
      <c r="P53">
        <f t="shared" si="39"/>
        <v>4</v>
      </c>
      <c r="Q53">
        <f t="shared" si="39"/>
        <v>5</v>
      </c>
    </row>
    <row r="55" spans="11:17">
      <c r="K55" t="str">
        <f>K46</f>
        <v>Bac-N</v>
      </c>
      <c r="L55">
        <f t="shared" ref="L55:Q55" si="40">C22</f>
        <v>1.7590734545454546E-2</v>
      </c>
      <c r="M55">
        <f t="shared" si="40"/>
        <v>4.2860723168316836E-2</v>
      </c>
      <c r="N55">
        <f t="shared" si="40"/>
        <v>0.50518067168316827</v>
      </c>
      <c r="O55">
        <f t="shared" si="40"/>
        <v>0.58055680000000009</v>
      </c>
      <c r="P55">
        <f t="shared" si="40"/>
        <v>0.55970591999999997</v>
      </c>
      <c r="Q55">
        <f t="shared" si="40"/>
        <v>0.54479522909090916</v>
      </c>
    </row>
    <row r="56" spans="11:17">
      <c r="K56" t="str">
        <f>K47</f>
        <v>NH4</v>
      </c>
      <c r="L56">
        <f t="shared" ref="L56:Q56" si="41">C39</f>
        <v>0.86807838118631342</v>
      </c>
      <c r="M56">
        <f t="shared" si="41"/>
        <v>1.6030395542431977</v>
      </c>
      <c r="N56">
        <f t="shared" si="41"/>
        <v>6.5213044505584721</v>
      </c>
      <c r="O56">
        <f t="shared" si="41"/>
        <v>7.2506269845241862</v>
      </c>
      <c r="P56">
        <f t="shared" si="41"/>
        <v>7.4806431632794137</v>
      </c>
      <c r="Q56">
        <f t="shared" si="41"/>
        <v>8.2388347850131343</v>
      </c>
    </row>
    <row r="58" spans="11:17">
      <c r="L58">
        <f t="shared" ref="L58:Q58" si="42">C30</f>
        <v>9.5885799015770358E-5</v>
      </c>
      <c r="M58">
        <f t="shared" si="42"/>
        <v>2.143321973123841E-2</v>
      </c>
      <c r="N58">
        <f t="shared" si="42"/>
        <v>2.4694094625347719E-3</v>
      </c>
      <c r="O58">
        <f t="shared" si="42"/>
        <v>7.0303409932935199E-3</v>
      </c>
      <c r="P58">
        <f t="shared" si="42"/>
        <v>9.8443609429155008E-3</v>
      </c>
      <c r="Q58">
        <f t="shared" si="42"/>
        <v>6.2099751241864497E-3</v>
      </c>
    </row>
    <row r="59" spans="11:17">
      <c r="L59">
        <f t="shared" ref="L59:Q59" si="43">C47</f>
        <v>3.1897106051087934E-2</v>
      </c>
      <c r="M59">
        <f t="shared" si="43"/>
        <v>8.9127940259661809E-2</v>
      </c>
      <c r="N59">
        <f t="shared" si="43"/>
        <v>4.8219451548288203E-2</v>
      </c>
      <c r="O59">
        <f t="shared" si="43"/>
        <v>0.1077296723170816</v>
      </c>
      <c r="P59">
        <f t="shared" si="43"/>
        <v>4.5640139835676087E-2</v>
      </c>
      <c r="Q59">
        <f t="shared" si="43"/>
        <v>2.1891525411740411E-2</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vt:lpstr>
      <vt:lpstr>DC2</vt:lpstr>
      <vt:lpstr>Bac</vt:lpstr>
      <vt:lpstr>NH4</vt:lpstr>
      <vt:lpstr>QuotaCalcs</vt:lpstr>
      <vt:lpstr>QuotaData</vt:lpstr>
      <vt:lpstr>NMassBalance</vt:lpstr>
      <vt:lpstr>N-Figures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 Shelford</dc:creator>
  <cp:lastModifiedBy>Emma Shelford</cp:lastModifiedBy>
  <dcterms:created xsi:type="dcterms:W3CDTF">2013-01-15T19:40:46Z</dcterms:created>
  <dcterms:modified xsi:type="dcterms:W3CDTF">2018-02-06T17:27:50Z</dcterms:modified>
</cp:coreProperties>
</file>